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8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4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2025\Нацпроекты 2025\"/>
    </mc:Choice>
  </mc:AlternateContent>
  <xr:revisionPtr revIDLastSave="0" documentId="13_ncr:81_{C8DFACA5-9261-44AA-815E-FBF746E42413}" xr6:coauthVersionLast="47" xr6:coauthVersionMax="47" xr10:uidLastSave="{00000000-0000-0000-0000-000000000000}"/>
  <bookViews>
    <workbookView xWindow="-120" yWindow="-120" windowWidth="28410" windowHeight="14175" xr2:uid="{00000000-000D-0000-FFFF-FFFF00000000}"/>
  </bookViews>
  <sheets>
    <sheet name="Лист1" sheetId="1" r:id="rId1"/>
    <sheet name="Лист2" sheetId="2" r:id="rId2"/>
  </sheets>
  <definedNames>
    <definedName name="_xlnm._FilterDatabase" localSheetId="0" hidden="1">Лист1!$C$1:$C$185</definedName>
    <definedName name="Print_Titles" localSheetId="0">Лист1!$4:$7</definedName>
    <definedName name="Z_4BDAC4E5_B9D6_4B4E_8CF9_E233100D38A4_.wvu.FilterData" localSheetId="0" hidden="1">Лист1!$C$1:$C$185</definedName>
    <definedName name="Z_66A2B891_AE35_467C_9D44_93842EF96688_.wvu.FilterData" localSheetId="0" hidden="1">Лист1!$C$1:$C$185</definedName>
    <definedName name="Z_900FDA9B_7184_4F67_9C0A_F6DACED425AE_.wvu.FilterData" localSheetId="0" hidden="1">Лист1!$C$1:$C$185</definedName>
    <definedName name="Z_967CB3D1_DF47_4293_9AC9_9958E25585CB_.wvu.Cols" localSheetId="0" hidden="1">Лист1!$D:$D</definedName>
    <definedName name="Z_967CB3D1_DF47_4293_9AC9_9958E25585CB_.wvu.FilterData" localSheetId="0" hidden="1">Лист1!$C$1:$C$185</definedName>
    <definedName name="Z_BAAD0889_191A_44A0_BA65_6A6E655C1D0D_.wvu.FilterData" localSheetId="0" hidden="1">Лист1!$C$1:$C$185</definedName>
    <definedName name="Z_CF9A69BD_9324_46CC_B094_E1E4161A8890_.wvu.FilterData" localSheetId="0" hidden="1">Лист1!$C$1:$C$185</definedName>
    <definedName name="Z_D71F6FF0_5ECB_46B0_AAA4_0C86CCCC4593_.wvu.FilterData" localSheetId="0" hidden="1">Лист1!$C$1:$C$185</definedName>
  </definedNames>
  <calcPr calcId="191029" fullPrecision="0"/>
  <customWorkbookViews>
    <customWorkbookView name="Кузнецова Мария Павловна (gmp) - Личное представление" guid="{BAAD0889-191A-44A0-BA65-6A6E655C1D0D}" mergeInterval="0" personalView="1" maximized="1" xWindow="-8" yWindow="-8" windowWidth="1936" windowHeight="1056" activeSheetId="1"/>
    <customWorkbookView name="Приставка Виктория Николаевна (pvn) - Личное представление" guid="{967CB3D1-DF47-4293-9AC9-9958E25585CB}" mergeInterval="0" personalView="1" xWindow="681" windowWidth="1266" windowHeight="91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3" i="1" l="1"/>
  <c r="M65" i="1"/>
  <c r="J70" i="1"/>
  <c r="L183" i="1" l="1"/>
  <c r="K183" i="1"/>
  <c r="J183" i="1" s="1"/>
  <c r="H183" i="1"/>
  <c r="G183" i="1"/>
  <c r="F183" i="1" s="1"/>
  <c r="K182" i="1"/>
  <c r="J182" i="1"/>
  <c r="H182" i="1"/>
  <c r="G182" i="1"/>
  <c r="F182" i="1"/>
  <c r="M180" i="1"/>
  <c r="L180" i="1"/>
  <c r="I180" i="1"/>
  <c r="H180" i="1"/>
  <c r="G180" i="1"/>
  <c r="K179" i="1"/>
  <c r="K175" i="1" s="1"/>
  <c r="J179" i="1"/>
  <c r="F179" i="1"/>
  <c r="J178" i="1"/>
  <c r="F178" i="1"/>
  <c r="J177" i="1"/>
  <c r="F177" i="1"/>
  <c r="F175" i="1" s="1"/>
  <c r="M175" i="1"/>
  <c r="M174" i="1" s="1"/>
  <c r="L175" i="1"/>
  <c r="I175" i="1"/>
  <c r="H175" i="1"/>
  <c r="G175" i="1"/>
  <c r="K173" i="1"/>
  <c r="J173" i="1" s="1"/>
  <c r="F173" i="1"/>
  <c r="L172" i="1"/>
  <c r="J172" i="1"/>
  <c r="F172" i="1"/>
  <c r="J171" i="1"/>
  <c r="F171" i="1"/>
  <c r="F169" i="1" s="1"/>
  <c r="M169" i="1"/>
  <c r="L169" i="1"/>
  <c r="K169" i="1"/>
  <c r="I169" i="1"/>
  <c r="H169" i="1"/>
  <c r="G169" i="1"/>
  <c r="J168" i="1"/>
  <c r="J166" i="1" s="1"/>
  <c r="H168" i="1"/>
  <c r="H166" i="1" s="1"/>
  <c r="G168" i="1"/>
  <c r="G166" i="1" s="1"/>
  <c r="M166" i="1"/>
  <c r="L166" i="1"/>
  <c r="K166" i="1"/>
  <c r="I166" i="1"/>
  <c r="J165" i="1"/>
  <c r="F165" i="1"/>
  <c r="J164" i="1"/>
  <c r="G164" i="1"/>
  <c r="G160" i="1" s="1"/>
  <c r="J163" i="1"/>
  <c r="H163" i="1"/>
  <c r="F163" i="1" s="1"/>
  <c r="J162" i="1"/>
  <c r="F162" i="1"/>
  <c r="M160" i="1"/>
  <c r="L160" i="1"/>
  <c r="K160" i="1"/>
  <c r="I160" i="1"/>
  <c r="L159" i="1"/>
  <c r="K159" i="1"/>
  <c r="J159" i="1" s="1"/>
  <c r="F159" i="1"/>
  <c r="F157" i="1" s="1"/>
  <c r="M157" i="1"/>
  <c r="L157" i="1"/>
  <c r="K157" i="1"/>
  <c r="I157" i="1"/>
  <c r="H157" i="1"/>
  <c r="G157" i="1"/>
  <c r="K155" i="1"/>
  <c r="K152" i="1" s="1"/>
  <c r="J155" i="1"/>
  <c r="G155" i="1"/>
  <c r="G152" i="1" s="1"/>
  <c r="J154" i="1"/>
  <c r="F154" i="1"/>
  <c r="M152" i="1"/>
  <c r="L152" i="1"/>
  <c r="I152" i="1"/>
  <c r="H152" i="1"/>
  <c r="J151" i="1"/>
  <c r="F151" i="1"/>
  <c r="F149" i="1" s="1"/>
  <c r="M149" i="1"/>
  <c r="L149" i="1"/>
  <c r="K149" i="1"/>
  <c r="I149" i="1"/>
  <c r="H149" i="1"/>
  <c r="G149" i="1"/>
  <c r="L148" i="1"/>
  <c r="J148" i="1"/>
  <c r="F148" i="1"/>
  <c r="L147" i="1"/>
  <c r="L145" i="1" s="1"/>
  <c r="K147" i="1"/>
  <c r="J147" i="1" s="1"/>
  <c r="F147" i="1"/>
  <c r="M145" i="1"/>
  <c r="I145" i="1"/>
  <c r="H145" i="1"/>
  <c r="G145" i="1"/>
  <c r="L143" i="1"/>
  <c r="L141" i="1" s="1"/>
  <c r="L140" i="1" s="1"/>
  <c r="K15" i="2" s="1"/>
  <c r="J143" i="1"/>
  <c r="J141" i="1" s="1"/>
  <c r="H143" i="1"/>
  <c r="H141" i="1" s="1"/>
  <c r="H140" i="1" s="1"/>
  <c r="H15" i="2" s="1"/>
  <c r="G143" i="1"/>
  <c r="G141" i="1" s="1"/>
  <c r="G140" i="1" s="1"/>
  <c r="G15" i="2" s="1"/>
  <c r="F15" i="2" s="1"/>
  <c r="M141" i="1"/>
  <c r="M140" i="1" s="1"/>
  <c r="K141" i="1"/>
  <c r="I141" i="1"/>
  <c r="K140" i="1"/>
  <c r="I140" i="1"/>
  <c r="K139" i="1"/>
  <c r="K137" i="1" s="1"/>
  <c r="J139" i="1"/>
  <c r="J137" i="1" s="1"/>
  <c r="G139" i="1"/>
  <c r="F139" i="1" s="1"/>
  <c r="F137" i="1" s="1"/>
  <c r="M137" i="1"/>
  <c r="L137" i="1"/>
  <c r="I137" i="1"/>
  <c r="H137" i="1"/>
  <c r="G137" i="1"/>
  <c r="J136" i="1"/>
  <c r="F136" i="1"/>
  <c r="F134" i="1" s="1"/>
  <c r="M134" i="1"/>
  <c r="L134" i="1"/>
  <c r="K134" i="1"/>
  <c r="I134" i="1"/>
  <c r="H134" i="1"/>
  <c r="G134" i="1"/>
  <c r="L133" i="1"/>
  <c r="K133" i="1"/>
  <c r="J133" i="1"/>
  <c r="F133" i="1"/>
  <c r="M131" i="1"/>
  <c r="L131" i="1"/>
  <c r="K131" i="1"/>
  <c r="J131" i="1"/>
  <c r="I131" i="1"/>
  <c r="H131" i="1"/>
  <c r="G131" i="1"/>
  <c r="F131" i="1"/>
  <c r="L130" i="1"/>
  <c r="J130" i="1"/>
  <c r="G130" i="1"/>
  <c r="F130" i="1" s="1"/>
  <c r="L129" i="1"/>
  <c r="L126" i="1" s="1"/>
  <c r="G129" i="1"/>
  <c r="G126" i="1" s="1"/>
  <c r="J128" i="1"/>
  <c r="H128" i="1"/>
  <c r="F128" i="1"/>
  <c r="M126" i="1"/>
  <c r="K126" i="1"/>
  <c r="I126" i="1"/>
  <c r="H126" i="1"/>
  <c r="K124" i="1"/>
  <c r="K122" i="1" s="1"/>
  <c r="J124" i="1"/>
  <c r="F124" i="1"/>
  <c r="L123" i="1"/>
  <c r="J123" i="1"/>
  <c r="F123" i="1"/>
  <c r="M122" i="1"/>
  <c r="L122" i="1"/>
  <c r="I122" i="1"/>
  <c r="H122" i="1"/>
  <c r="G122" i="1"/>
  <c r="F122" i="1"/>
  <c r="J121" i="1"/>
  <c r="F121" i="1"/>
  <c r="L120" i="1"/>
  <c r="L118" i="1" s="1"/>
  <c r="K120" i="1"/>
  <c r="K118" i="1" s="1"/>
  <c r="J120" i="1"/>
  <c r="H120" i="1"/>
  <c r="H118" i="1" s="1"/>
  <c r="G120" i="1"/>
  <c r="G118" i="1" s="1"/>
  <c r="F120" i="1"/>
  <c r="M118" i="1"/>
  <c r="I118" i="1"/>
  <c r="K116" i="1"/>
  <c r="K114" i="1" s="1"/>
  <c r="J116" i="1"/>
  <c r="J114" i="1" s="1"/>
  <c r="F116" i="1"/>
  <c r="F114" i="1" s="1"/>
  <c r="M114" i="1"/>
  <c r="L114" i="1"/>
  <c r="I114" i="1"/>
  <c r="H114" i="1"/>
  <c r="G114" i="1"/>
  <c r="K113" i="1"/>
  <c r="J113" i="1" s="1"/>
  <c r="G113" i="1"/>
  <c r="F113" i="1" s="1"/>
  <c r="K112" i="1"/>
  <c r="J112" i="1"/>
  <c r="F112" i="1"/>
  <c r="J111" i="1"/>
  <c r="F111" i="1"/>
  <c r="K110" i="1"/>
  <c r="F110" i="1"/>
  <c r="K109" i="1"/>
  <c r="J109" i="1" s="1"/>
  <c r="F109" i="1"/>
  <c r="M107" i="1"/>
  <c r="L107" i="1"/>
  <c r="I107" i="1"/>
  <c r="H107" i="1"/>
  <c r="J106" i="1"/>
  <c r="J104" i="1" s="1"/>
  <c r="F106" i="1"/>
  <c r="F104" i="1" s="1"/>
  <c r="M104" i="1"/>
  <c r="L104" i="1"/>
  <c r="K104" i="1"/>
  <c r="I104" i="1"/>
  <c r="H104" i="1"/>
  <c r="G104" i="1"/>
  <c r="K103" i="1"/>
  <c r="K101" i="1" s="1"/>
  <c r="G103" i="1"/>
  <c r="F103" i="1" s="1"/>
  <c r="F101" i="1" s="1"/>
  <c r="M101" i="1"/>
  <c r="L101" i="1"/>
  <c r="I101" i="1"/>
  <c r="H101" i="1"/>
  <c r="K100" i="1"/>
  <c r="J100" i="1"/>
  <c r="G100" i="1"/>
  <c r="F100" i="1" s="1"/>
  <c r="J99" i="1"/>
  <c r="F99" i="1"/>
  <c r="K98" i="1"/>
  <c r="J98" i="1" s="1"/>
  <c r="G98" i="1"/>
  <c r="F98" i="1"/>
  <c r="M97" i="1"/>
  <c r="L97" i="1"/>
  <c r="I97" i="1"/>
  <c r="H97" i="1"/>
  <c r="J95" i="1"/>
  <c r="J94" i="1" s="1"/>
  <c r="F95" i="1"/>
  <c r="F94" i="1" s="1"/>
  <c r="M94" i="1"/>
  <c r="L94" i="1"/>
  <c r="K94" i="1"/>
  <c r="H94" i="1"/>
  <c r="G94" i="1"/>
  <c r="K93" i="1"/>
  <c r="J93" i="1" s="1"/>
  <c r="F93" i="1"/>
  <c r="F92" i="1" s="1"/>
  <c r="M92" i="1"/>
  <c r="L92" i="1"/>
  <c r="K92" i="1"/>
  <c r="I92" i="1"/>
  <c r="H92" i="1"/>
  <c r="G92" i="1"/>
  <c r="K91" i="1"/>
  <c r="J91" i="1" s="1"/>
  <c r="F91" i="1"/>
  <c r="J90" i="1"/>
  <c r="F90" i="1"/>
  <c r="J89" i="1"/>
  <c r="F89" i="1"/>
  <c r="K88" i="1"/>
  <c r="J88" i="1"/>
  <c r="F88" i="1"/>
  <c r="J87" i="1"/>
  <c r="F87" i="1"/>
  <c r="L86" i="1"/>
  <c r="K86" i="1"/>
  <c r="J86" i="1" s="1"/>
  <c r="F86" i="1"/>
  <c r="M84" i="1"/>
  <c r="L84" i="1"/>
  <c r="I84" i="1"/>
  <c r="H84" i="1"/>
  <c r="G84" i="1"/>
  <c r="J83" i="1"/>
  <c r="F83" i="1"/>
  <c r="K82" i="1"/>
  <c r="J82" i="1"/>
  <c r="F82" i="1"/>
  <c r="K81" i="1"/>
  <c r="J81" i="1" s="1"/>
  <c r="F81" i="1"/>
  <c r="K80" i="1"/>
  <c r="K77" i="1" s="1"/>
  <c r="F80" i="1"/>
  <c r="J79" i="1"/>
  <c r="F79" i="1"/>
  <c r="M77" i="1"/>
  <c r="L77" i="1"/>
  <c r="I77" i="1"/>
  <c r="H77" i="1"/>
  <c r="G77" i="1"/>
  <c r="K76" i="1"/>
  <c r="J76" i="1" s="1"/>
  <c r="F76" i="1"/>
  <c r="K75" i="1"/>
  <c r="J75" i="1"/>
  <c r="F75" i="1"/>
  <c r="J74" i="1"/>
  <c r="F74" i="1"/>
  <c r="L73" i="1"/>
  <c r="L71" i="1" s="1"/>
  <c r="F73" i="1"/>
  <c r="M71" i="1"/>
  <c r="I71" i="1"/>
  <c r="H71" i="1"/>
  <c r="G71" i="1"/>
  <c r="F70" i="1"/>
  <c r="N70" i="1" s="1"/>
  <c r="L69" i="1"/>
  <c r="K69" i="1"/>
  <c r="G69" i="1"/>
  <c r="G65" i="1" s="1"/>
  <c r="F69" i="1"/>
  <c r="J68" i="1"/>
  <c r="F68" i="1"/>
  <c r="L67" i="1"/>
  <c r="K67" i="1"/>
  <c r="K65" i="1" s="1"/>
  <c r="J67" i="1"/>
  <c r="F67" i="1"/>
  <c r="I65" i="1"/>
  <c r="H65" i="1"/>
  <c r="J63" i="1"/>
  <c r="F63" i="1"/>
  <c r="L62" i="1"/>
  <c r="J62" i="1" s="1"/>
  <c r="F62" i="1"/>
  <c r="M60" i="1"/>
  <c r="K60" i="1"/>
  <c r="I60" i="1"/>
  <c r="H60" i="1"/>
  <c r="G60" i="1"/>
  <c r="K59" i="1"/>
  <c r="J59" i="1" s="1"/>
  <c r="F59" i="1"/>
  <c r="L58" i="1"/>
  <c r="K58" i="1"/>
  <c r="F58" i="1"/>
  <c r="M56" i="1"/>
  <c r="L56" i="1"/>
  <c r="I56" i="1"/>
  <c r="H56" i="1"/>
  <c r="G56" i="1"/>
  <c r="F56" i="1" s="1"/>
  <c r="K55" i="1"/>
  <c r="J55" i="1"/>
  <c r="F55" i="1"/>
  <c r="L54" i="1"/>
  <c r="L52" i="1" s="1"/>
  <c r="K54" i="1"/>
  <c r="K52" i="1" s="1"/>
  <c r="J54" i="1"/>
  <c r="H54" i="1"/>
  <c r="H52" i="1" s="1"/>
  <c r="G54" i="1"/>
  <c r="G52" i="1" s="1"/>
  <c r="M52" i="1"/>
  <c r="I52" i="1"/>
  <c r="K51" i="1"/>
  <c r="J51" i="1" s="1"/>
  <c r="F51" i="1"/>
  <c r="J50" i="1"/>
  <c r="F50" i="1"/>
  <c r="M48" i="1"/>
  <c r="L48" i="1"/>
  <c r="K48" i="1"/>
  <c r="I48" i="1"/>
  <c r="H48" i="1"/>
  <c r="G48" i="1"/>
  <c r="K47" i="1"/>
  <c r="F47" i="1"/>
  <c r="K46" i="1"/>
  <c r="J46" i="1" s="1"/>
  <c r="G46" i="1"/>
  <c r="G41" i="1" s="1"/>
  <c r="J45" i="1"/>
  <c r="F45" i="1"/>
  <c r="L44" i="1"/>
  <c r="K44" i="1"/>
  <c r="J44" i="1" s="1"/>
  <c r="F44" i="1"/>
  <c r="L43" i="1"/>
  <c r="J43" i="1" s="1"/>
  <c r="F43" i="1"/>
  <c r="M41" i="1"/>
  <c r="I41" i="1"/>
  <c r="H41" i="1"/>
  <c r="K39" i="1"/>
  <c r="J39" i="1" s="1"/>
  <c r="J37" i="1" s="1"/>
  <c r="F39" i="1"/>
  <c r="M37" i="1"/>
  <c r="L37" i="1"/>
  <c r="K37" i="1"/>
  <c r="I37" i="1"/>
  <c r="H37" i="1"/>
  <c r="G37" i="1"/>
  <c r="F37" i="1"/>
  <c r="J36" i="1"/>
  <c r="G36" i="1"/>
  <c r="G33" i="1" s="1"/>
  <c r="F36" i="1"/>
  <c r="L35" i="1"/>
  <c r="J35" i="1" s="1"/>
  <c r="H35" i="1"/>
  <c r="F35" i="1" s="1"/>
  <c r="M33" i="1"/>
  <c r="I33" i="1"/>
  <c r="J32" i="1"/>
  <c r="F32" i="1"/>
  <c r="J31" i="1"/>
  <c r="G31" i="1"/>
  <c r="F31" i="1" s="1"/>
  <c r="L30" i="1"/>
  <c r="K30" i="1"/>
  <c r="J30" i="1" s="1"/>
  <c r="G30" i="1"/>
  <c r="F30" i="1" s="1"/>
  <c r="M28" i="1"/>
  <c r="L28" i="1"/>
  <c r="K28" i="1"/>
  <c r="J28" i="1" s="1"/>
  <c r="I28" i="1"/>
  <c r="H28" i="1"/>
  <c r="K27" i="1"/>
  <c r="J27" i="1"/>
  <c r="F27" i="1"/>
  <c r="K26" i="1"/>
  <c r="F26" i="1"/>
  <c r="J25" i="1"/>
  <c r="F25" i="1"/>
  <c r="K24" i="1"/>
  <c r="J24" i="1"/>
  <c r="G24" i="1"/>
  <c r="F24" i="1" s="1"/>
  <c r="J23" i="1"/>
  <c r="G23" i="1"/>
  <c r="F23" i="1" s="1"/>
  <c r="J22" i="1"/>
  <c r="F22" i="1"/>
  <c r="M20" i="1"/>
  <c r="L20" i="1"/>
  <c r="I20" i="1"/>
  <c r="H20" i="1"/>
  <c r="G20" i="1"/>
  <c r="F20" i="1" s="1"/>
  <c r="J19" i="1"/>
  <c r="G19" i="1"/>
  <c r="F19" i="1"/>
  <c r="K18" i="1"/>
  <c r="J18" i="1"/>
  <c r="G18" i="1"/>
  <c r="F18" i="1" s="1"/>
  <c r="L17" i="1"/>
  <c r="L10" i="1" s="1"/>
  <c r="K17" i="1"/>
  <c r="J17" i="1" s="1"/>
  <c r="G17" i="1"/>
  <c r="G10" i="1" s="1"/>
  <c r="F10" i="1" s="1"/>
  <c r="F17" i="1"/>
  <c r="J16" i="1"/>
  <c r="F16" i="1"/>
  <c r="K15" i="1"/>
  <c r="J15" i="1" s="1"/>
  <c r="G15" i="1"/>
  <c r="F15" i="1" s="1"/>
  <c r="J14" i="1"/>
  <c r="H14" i="1"/>
  <c r="G14" i="1"/>
  <c r="L13" i="1"/>
  <c r="K13" i="1"/>
  <c r="J13" i="1" s="1"/>
  <c r="G13" i="1"/>
  <c r="F13" i="1"/>
  <c r="L12" i="1"/>
  <c r="K12" i="1"/>
  <c r="J12" i="1" s="1"/>
  <c r="G12" i="1"/>
  <c r="F12" i="1" s="1"/>
  <c r="M10" i="1"/>
  <c r="I10" i="1"/>
  <c r="H10" i="1"/>
  <c r="J15" i="2" l="1"/>
  <c r="J52" i="1"/>
  <c r="N25" i="1"/>
  <c r="L125" i="1"/>
  <c r="G125" i="1"/>
  <c r="G14" i="2" s="1"/>
  <c r="N136" i="1"/>
  <c r="N177" i="1"/>
  <c r="M9" i="1"/>
  <c r="M117" i="1"/>
  <c r="N130" i="1"/>
  <c r="N111" i="1"/>
  <c r="N133" i="1"/>
  <c r="F41" i="1"/>
  <c r="N173" i="1"/>
  <c r="J169" i="1"/>
  <c r="N169" i="1" s="1"/>
  <c r="F168" i="1"/>
  <c r="F166" i="1" s="1"/>
  <c r="N166" i="1" s="1"/>
  <c r="N17" i="1"/>
  <c r="K20" i="1"/>
  <c r="J20" i="1" s="1"/>
  <c r="N20" i="1" s="1"/>
  <c r="N178" i="1"/>
  <c r="N112" i="1"/>
  <c r="N76" i="1"/>
  <c r="I156" i="1"/>
  <c r="I9" i="1"/>
  <c r="N94" i="1"/>
  <c r="L174" i="1"/>
  <c r="K18" i="2" s="1"/>
  <c r="H144" i="1"/>
  <c r="H16" i="2" s="1"/>
  <c r="I144" i="1"/>
  <c r="F180" i="1"/>
  <c r="F174" i="1" s="1"/>
  <c r="J69" i="1"/>
  <c r="N69" i="1" s="1"/>
  <c r="L96" i="1"/>
  <c r="K12" i="2" s="1"/>
  <c r="G156" i="1"/>
  <c r="G17" i="2" s="1"/>
  <c r="N59" i="1"/>
  <c r="J152" i="1"/>
  <c r="H64" i="1"/>
  <c r="H11" i="2" s="1"/>
  <c r="K84" i="1"/>
  <c r="K125" i="1"/>
  <c r="J14" i="2" s="1"/>
  <c r="K145" i="1"/>
  <c r="K144" i="1" s="1"/>
  <c r="N44" i="1"/>
  <c r="F54" i="1"/>
  <c r="L60" i="1"/>
  <c r="F71" i="1"/>
  <c r="L41" i="1"/>
  <c r="L40" i="1" s="1"/>
  <c r="K10" i="2" s="1"/>
  <c r="K71" i="1"/>
  <c r="N128" i="1"/>
  <c r="N93" i="1"/>
  <c r="J92" i="1"/>
  <c r="N92" i="1" s="1"/>
  <c r="J26" i="1"/>
  <c r="N26" i="1" s="1"/>
  <c r="N35" i="1"/>
  <c r="N89" i="1"/>
  <c r="J103" i="1"/>
  <c r="N121" i="1"/>
  <c r="J129" i="1"/>
  <c r="J126" i="1" s="1"/>
  <c r="F143" i="1"/>
  <c r="F141" i="1" s="1"/>
  <c r="F140" i="1" s="1"/>
  <c r="K10" i="1"/>
  <c r="N90" i="1"/>
  <c r="N27" i="1"/>
  <c r="N36" i="1"/>
  <c r="N81" i="1"/>
  <c r="N151" i="1"/>
  <c r="N45" i="1"/>
  <c r="F52" i="1"/>
  <c r="N52" i="1" s="1"/>
  <c r="N91" i="1"/>
  <c r="H96" i="1"/>
  <c r="H12" i="2" s="1"/>
  <c r="N113" i="1"/>
  <c r="N162" i="1"/>
  <c r="F46" i="1"/>
  <c r="N46" i="1" s="1"/>
  <c r="I96" i="1"/>
  <c r="N54" i="1"/>
  <c r="N82" i="1"/>
  <c r="N104" i="1"/>
  <c r="N163" i="1"/>
  <c r="N171" i="1"/>
  <c r="N179" i="1"/>
  <c r="F97" i="1"/>
  <c r="M144" i="1"/>
  <c r="N37" i="1"/>
  <c r="F60" i="1"/>
  <c r="N99" i="1"/>
  <c r="N123" i="1"/>
  <c r="N172" i="1"/>
  <c r="K41" i="1"/>
  <c r="N63" i="1"/>
  <c r="N83" i="1"/>
  <c r="I64" i="1"/>
  <c r="M96" i="1"/>
  <c r="N131" i="1"/>
  <c r="N55" i="1"/>
  <c r="N74" i="1"/>
  <c r="G97" i="1"/>
  <c r="G144" i="1"/>
  <c r="G16" i="2" s="1"/>
  <c r="N165" i="1"/>
  <c r="F48" i="1"/>
  <c r="F40" i="1" s="1"/>
  <c r="N100" i="1"/>
  <c r="N106" i="1"/>
  <c r="J122" i="1"/>
  <c r="N122" i="1" s="1"/>
  <c r="N13" i="1"/>
  <c r="N75" i="1"/>
  <c r="G107" i="1"/>
  <c r="M125" i="1"/>
  <c r="N39" i="1"/>
  <c r="N22" i="1"/>
  <c r="J65" i="1"/>
  <c r="G101" i="1"/>
  <c r="L144" i="1"/>
  <c r="K16" i="2" s="1"/>
  <c r="F14" i="1"/>
  <c r="N14" i="1" s="1"/>
  <c r="N32" i="1"/>
  <c r="F84" i="1"/>
  <c r="I117" i="1"/>
  <c r="F145" i="1"/>
  <c r="H40" i="1"/>
  <c r="H10" i="2" s="1"/>
  <c r="L65" i="1"/>
  <c r="N148" i="1"/>
  <c r="K156" i="1"/>
  <c r="N182" i="1"/>
  <c r="I40" i="1"/>
  <c r="N50" i="1"/>
  <c r="F65" i="1"/>
  <c r="N65" i="1" s="1"/>
  <c r="F118" i="1"/>
  <c r="F117" i="1" s="1"/>
  <c r="L156" i="1"/>
  <c r="K17" i="2" s="1"/>
  <c r="G174" i="1"/>
  <c r="G18" i="2" s="1"/>
  <c r="N15" i="1"/>
  <c r="N24" i="1"/>
  <c r="H33" i="1"/>
  <c r="F33" i="1" s="1"/>
  <c r="N68" i="1"/>
  <c r="G117" i="1"/>
  <c r="G13" i="2" s="1"/>
  <c r="M156" i="1"/>
  <c r="H174" i="1"/>
  <c r="H18" i="2" s="1"/>
  <c r="M40" i="1"/>
  <c r="K56" i="1"/>
  <c r="N87" i="1"/>
  <c r="H117" i="1"/>
  <c r="H13" i="2" s="1"/>
  <c r="I174" i="1"/>
  <c r="N12" i="1"/>
  <c r="N16" i="1"/>
  <c r="K33" i="1"/>
  <c r="G64" i="1"/>
  <c r="G11" i="2" s="1"/>
  <c r="K107" i="1"/>
  <c r="J118" i="1"/>
  <c r="H125" i="1"/>
  <c r="H14" i="2" s="1"/>
  <c r="F14" i="2" s="1"/>
  <c r="J175" i="1"/>
  <c r="N43" i="1"/>
  <c r="M64" i="1"/>
  <c r="N88" i="1"/>
  <c r="I125" i="1"/>
  <c r="F77" i="1"/>
  <c r="L117" i="1"/>
  <c r="K13" i="2" s="1"/>
  <c r="F129" i="1"/>
  <c r="F126" i="1" s="1"/>
  <c r="F125" i="1" s="1"/>
  <c r="J134" i="1"/>
  <c r="N134" i="1" s="1"/>
  <c r="J149" i="1"/>
  <c r="N149" i="1" s="1"/>
  <c r="H160" i="1"/>
  <c r="H156" i="1" s="1"/>
  <c r="H17" i="2" s="1"/>
  <c r="N18" i="1"/>
  <c r="J140" i="1"/>
  <c r="J97" i="1"/>
  <c r="N98" i="1"/>
  <c r="J60" i="1"/>
  <c r="N62" i="1"/>
  <c r="N30" i="1"/>
  <c r="N137" i="1"/>
  <c r="N114" i="1"/>
  <c r="N31" i="1"/>
  <c r="J145" i="1"/>
  <c r="N147" i="1"/>
  <c r="N23" i="1"/>
  <c r="L64" i="1"/>
  <c r="K11" i="2" s="1"/>
  <c r="N86" i="1"/>
  <c r="J84" i="1"/>
  <c r="I15" i="2"/>
  <c r="L15" i="2" s="1"/>
  <c r="N109" i="1"/>
  <c r="N51" i="1"/>
  <c r="J48" i="1"/>
  <c r="F107" i="1"/>
  <c r="N159" i="1"/>
  <c r="J157" i="1"/>
  <c r="K117" i="1"/>
  <c r="N183" i="1"/>
  <c r="J180" i="1"/>
  <c r="N180" i="1" s="1"/>
  <c r="G9" i="1"/>
  <c r="J47" i="1"/>
  <c r="N47" i="1" s="1"/>
  <c r="J73" i="1"/>
  <c r="N95" i="1"/>
  <c r="J110" i="1"/>
  <c r="N110" i="1" s="1"/>
  <c r="N124" i="1"/>
  <c r="N139" i="1"/>
  <c r="F164" i="1"/>
  <c r="F160" i="1" s="1"/>
  <c r="N67" i="1"/>
  <c r="J58" i="1"/>
  <c r="N79" i="1"/>
  <c r="K180" i="1"/>
  <c r="K174" i="1" s="1"/>
  <c r="N116" i="1"/>
  <c r="N154" i="1"/>
  <c r="J80" i="1"/>
  <c r="N80" i="1" s="1"/>
  <c r="N120" i="1"/>
  <c r="F155" i="1"/>
  <c r="F152" i="1" s="1"/>
  <c r="G28" i="1"/>
  <c r="F28" i="1" s="1"/>
  <c r="N28" i="1" s="1"/>
  <c r="L33" i="1"/>
  <c r="J160" i="1"/>
  <c r="G40" i="1"/>
  <c r="G10" i="2" s="1"/>
  <c r="K97" i="1"/>
  <c r="F17" i="2" l="1"/>
  <c r="J10" i="1"/>
  <c r="J18" i="2"/>
  <c r="F156" i="1"/>
  <c r="J16" i="2"/>
  <c r="K14" i="2"/>
  <c r="I14" i="2" s="1"/>
  <c r="N118" i="1"/>
  <c r="J17" i="2"/>
  <c r="F16" i="2"/>
  <c r="F18" i="2"/>
  <c r="I17" i="2"/>
  <c r="M17" i="2" s="1"/>
  <c r="K64" i="1"/>
  <c r="J11" i="2" s="1"/>
  <c r="I11" i="2" s="1"/>
  <c r="I16" i="2"/>
  <c r="M16" i="2" s="1"/>
  <c r="J13" i="2"/>
  <c r="I13" i="2" s="1"/>
  <c r="M13" i="2" s="1"/>
  <c r="N152" i="1"/>
  <c r="J117" i="1"/>
  <c r="N117" i="1" s="1"/>
  <c r="N48" i="1"/>
  <c r="K96" i="1"/>
  <c r="F11" i="2"/>
  <c r="J33" i="1"/>
  <c r="J9" i="1" s="1"/>
  <c r="J125" i="1"/>
  <c r="N125" i="1" s="1"/>
  <c r="F10" i="2"/>
  <c r="M8" i="1"/>
  <c r="N168" i="1"/>
  <c r="K40" i="1"/>
  <c r="J10" i="2" s="1"/>
  <c r="I10" i="2" s="1"/>
  <c r="N155" i="1"/>
  <c r="J174" i="1"/>
  <c r="N174" i="1" s="1"/>
  <c r="N129" i="1"/>
  <c r="K9" i="1"/>
  <c r="J9" i="2" s="1"/>
  <c r="F96" i="1"/>
  <c r="N140" i="1"/>
  <c r="F144" i="1"/>
  <c r="N143" i="1"/>
  <c r="N141" i="1"/>
  <c r="F64" i="1"/>
  <c r="I8" i="1"/>
  <c r="F9" i="1"/>
  <c r="L17" i="2"/>
  <c r="N17" i="2"/>
  <c r="F13" i="2"/>
  <c r="N103" i="1"/>
  <c r="J101" i="1"/>
  <c r="N101" i="1" s="1"/>
  <c r="N60" i="1"/>
  <c r="N175" i="1"/>
  <c r="N84" i="1"/>
  <c r="N164" i="1"/>
  <c r="J41" i="1"/>
  <c r="N41" i="1" s="1"/>
  <c r="H9" i="1"/>
  <c r="G96" i="1"/>
  <c r="G12" i="2" s="1"/>
  <c r="F12" i="2" s="1"/>
  <c r="N15" i="2"/>
  <c r="M15" i="2"/>
  <c r="I18" i="2"/>
  <c r="M18" i="2" s="1"/>
  <c r="J156" i="1"/>
  <c r="N156" i="1" s="1"/>
  <c r="N157" i="1"/>
  <c r="N10" i="1"/>
  <c r="N97" i="1"/>
  <c r="J56" i="1"/>
  <c r="N56" i="1" s="1"/>
  <c r="N58" i="1"/>
  <c r="N145" i="1"/>
  <c r="J144" i="1"/>
  <c r="J107" i="1"/>
  <c r="N107" i="1" s="1"/>
  <c r="J71" i="1"/>
  <c r="N73" i="1"/>
  <c r="N160" i="1"/>
  <c r="N126" i="1"/>
  <c r="G9" i="2"/>
  <c r="L9" i="1"/>
  <c r="J77" i="1"/>
  <c r="N77" i="1" s="1"/>
  <c r="J12" i="2" l="1"/>
  <c r="I12" i="2" s="1"/>
  <c r="M12" i="2" s="1"/>
  <c r="G8" i="1"/>
  <c r="G8" i="2" s="1"/>
  <c r="L11" i="2"/>
  <c r="N14" i="2"/>
  <c r="L14" i="2"/>
  <c r="M14" i="2"/>
  <c r="L16" i="2"/>
  <c r="N16" i="2"/>
  <c r="N33" i="1"/>
  <c r="N144" i="1"/>
  <c r="K8" i="1"/>
  <c r="F8" i="1"/>
  <c r="H9" i="2"/>
  <c r="F9" i="2" s="1"/>
  <c r="H8" i="1"/>
  <c r="H8" i="2" s="1"/>
  <c r="F8" i="2" s="1"/>
  <c r="J96" i="1"/>
  <c r="N96" i="1" s="1"/>
  <c r="N9" i="1"/>
  <c r="K9" i="2"/>
  <c r="L8" i="1"/>
  <c r="K8" i="2" s="1"/>
  <c r="I9" i="2"/>
  <c r="N71" i="1"/>
  <c r="J64" i="1"/>
  <c r="M11" i="2"/>
  <c r="L10" i="2"/>
  <c r="N10" i="2"/>
  <c r="M10" i="2"/>
  <c r="N11" i="2"/>
  <c r="L18" i="2"/>
  <c r="N18" i="2"/>
  <c r="J40" i="1"/>
  <c r="L12" i="2"/>
  <c r="N12" i="2"/>
  <c r="L13" i="2"/>
  <c r="N13" i="2"/>
  <c r="J8" i="2" l="1"/>
  <c r="I8" i="2"/>
  <c r="L8" i="2"/>
  <c r="L9" i="2"/>
  <c r="N40" i="1"/>
  <c r="N64" i="1"/>
  <c r="M8" i="2"/>
  <c r="N8" i="2"/>
  <c r="J8" i="1"/>
  <c r="N8" i="1" s="1"/>
  <c r="M9" i="2"/>
  <c r="N9" i="2"/>
</calcChain>
</file>

<file path=xl/sharedStrings.xml><?xml version="1.0" encoding="utf-8"?>
<sst xmlns="http://schemas.openxmlformats.org/spreadsheetml/2006/main" count="683" uniqueCount="317">
  <si>
    <t>Информация о плановых ассигнованиях и кассовом исполнении расходов консолидированного бюджета Томской области
на реализацию региональных проектов Томской области по состоянию на 01.01.2020</t>
  </si>
  <si>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</si>
  <si>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</si>
  <si>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</si>
  <si>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</si>
  <si>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</si>
  <si>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2019 год</t>
  </si>
  <si>
    <t>% исполнения</t>
  </si>
  <si>
    <t xml:space="preserve">Плановые ассигнования*, в том числе 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</si>
  <si>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</si>
  <si>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</si>
  <si>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</si>
  <si>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</si>
  <si>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местного бюджета**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</si>
  <si>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</si>
  <si>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</si>
  <si>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</si>
  <si>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</si>
  <si>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</si>
  <si>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</si>
  <si>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</si>
  <si>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024</t>
  </si>
  <si>
    <t>Организация профессионального обучения и дополнительного профессионального образования лиц предпенсионного возраста</t>
  </si>
  <si>
    <t>Департамент труда и занятости населения Томской области</t>
  </si>
  <si>
    <t>051P352940</t>
  </si>
  <si>
    <t>Возмещение затрат работодателям на профессиональное обучение и дополнительное профессиональное образование работников из числа лиц предпенсионного возраста</t>
  </si>
  <si>
    <t>051P352941</t>
  </si>
  <si>
    <t>Субсидия автономной некоммерческой организации дополнительного профессионального образования "Энергетик" (АНО ДПО "Энергетик")</t>
  </si>
  <si>
    <t>051P352942</t>
  </si>
  <si>
    <t>Организация деятельности мобильных бригад по доставке лиц старше 65 лет, проживающих в сельской местности, в медицинские организации</t>
  </si>
  <si>
    <t>Департамент социальной защиты населения Томской области</t>
  </si>
  <si>
    <t>112P352931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</si>
  <si>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</si>
  <si>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здравоохранения Томской области</t>
  </si>
  <si>
    <t>071P354680</t>
  </si>
  <si>
    <t>022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</si>
  <si>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</si>
  <si>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Департамент архитектуры и строительства Томской области</t>
  </si>
  <si>
    <t>112P351210</t>
  </si>
  <si>
    <t>Приобретение автотранспорта</t>
  </si>
  <si>
    <t>112P352930</t>
  </si>
  <si>
    <t>Бюджетные ассигнования на объекты капитального строительства государственной собственности в сфере социального обслуживания населения</t>
  </si>
  <si>
    <t>112P30И000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</si>
  <si>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</si>
  <si>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</si>
  <si>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</si>
  <si>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</si>
  <si>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081P552280</t>
  </si>
  <si>
    <t>Строительство универсальных спортивных площадок в муниципальных образованиях Томской области</t>
  </si>
  <si>
    <t>083P54И380</t>
  </si>
  <si>
    <t>Капитальный ремонт муниципальных спортивных сооружений</t>
  </si>
  <si>
    <t>083P540370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</si>
  <si>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</si>
  <si>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081P500001</t>
  </si>
  <si>
    <t>Приобретение спортивного инвентаря и оборудования для спортивных школ</t>
  </si>
  <si>
    <t>082P500002</t>
  </si>
  <si>
    <t>Обеспечение условий для развития физической культуры и массового спорта</t>
  </si>
  <si>
    <t>081P500003</t>
  </si>
  <si>
    <t>1.3</t>
  </si>
  <si>
    <t>Региональный проект "Содействие занятости женщин - создание условий дошкольного образования для детей в возрасте до трех лет", всего</t>
  </si>
  <si>
    <t>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</si>
  <si>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092P251590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</si>
  <si>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</si>
  <si>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092P252320</t>
  </si>
  <si>
    <t>Оснащение зданий оборудованием и инвентарем для размещения дошкольных образовательных организаций</t>
  </si>
  <si>
    <t>Департамент общего образования Томской области</t>
  </si>
  <si>
    <t>092P251591</t>
  </si>
  <si>
    <t>1.4</t>
  </si>
  <si>
    <t>Региональный проект "Финансовая поддержка семей при рождении детей", всего</t>
  </si>
  <si>
    <t>023</t>
  </si>
  <si>
    <t>Осуществление ежемесячной выплаты в связи с рождением (усыновлением) первого ребенка</t>
  </si>
  <si>
    <t>111P155730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</si>
  <si>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</si>
  <si>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111P1Д0840</t>
  </si>
  <si>
    <t xml:space="preserve">1.5 </t>
  </si>
  <si>
    <t>Региональный проект "Укрепление общественного здоровья"</t>
  </si>
  <si>
    <t>Создание и демонстрация рекламно - информационных материалов в СМИ, сети "Интернет", в медицинских организациях и общественных местах, разработка печатной продукции по формированию здорового образа жизни</t>
  </si>
  <si>
    <t>071P4Д0003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</si>
  <si>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</si>
  <si>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</si>
  <si>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</si>
  <si>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</si>
  <si>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Создание и замена фельдшерских, фельдшерско-акушерских пунктов и врачебных амбулаторий для населенных пунктов с численностью населения от 100 до 2000 человек</t>
  </si>
  <si>
    <t>071N151960</t>
  </si>
  <si>
    <t>Обеспечение закупки авиационных работ органами государственной власти субъектов Российской Федерации в целях оказания медицинской помощи</t>
  </si>
  <si>
    <t>072N155540</t>
  </si>
  <si>
    <t>Организация проведения профилактических медицинских осмотров</t>
  </si>
  <si>
    <t>071N100001</t>
  </si>
  <si>
    <t>Оказание медицинской помощи с применением санитарной авиации</t>
  </si>
  <si>
    <t>072N1Д5540</t>
  </si>
  <si>
    <t>Функционирование регионального проектного офиса по созданию и внедрению "Новой модели медицинской организации, оказывающей первичную медико-санитарную помощь"</t>
  </si>
  <si>
    <t>076N100101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</si>
  <si>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</si>
  <si>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</si>
  <si>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</si>
  <si>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072N251920</t>
  </si>
  <si>
    <t>Профилактика развития сердечно-сосудистых заболеваний и сердечно-сосудистых осложнений у пациентов высокого риска</t>
  </si>
  <si>
    <t>071N2Д0002</t>
  </si>
  <si>
    <t>2.3</t>
  </si>
  <si>
    <t>Региональный проект "Развитие детского здравоохранения, включая создание современной инфраструктуры оказания медицинской помощи детям", всего</t>
  </si>
  <si>
    <t>Развитие материально-технической базы детских поликлиник и детских поликлинических отделений медицинских организаций, оказывающих первичную медико-санитарную помощь</t>
  </si>
  <si>
    <t>073N451700</t>
  </si>
  <si>
    <t>Развитие профилактического направления в педиатрии</t>
  </si>
  <si>
    <t>071N400004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</si>
  <si>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</si>
  <si>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</si>
  <si>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</si>
  <si>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076N751140</t>
  </si>
  <si>
    <t>Обеспечение работоспособности государственных информационных систем в сфере здравоохранения, подключенных к ЕГИСЗ</t>
  </si>
  <si>
    <t>076N751141</t>
  </si>
  <si>
    <t>2.5</t>
  </si>
  <si>
    <t>Региональный проект "Борьба с онкологическими заболеваниями", всего</t>
  </si>
  <si>
    <t>Создание и оснащение референс-центров для проведения иммуногистохимических, патоморфологических исследований и лучевых методов исследований, переоснащение сети региональных медицинских организаций, оказывающих помощь больным онкологическими заболеваниями в субъектах Российской Федерации</t>
  </si>
  <si>
    <t>072N351900</t>
  </si>
  <si>
    <t>Новое строительство и реконструкция(Хирургический корпус на 120 коек с поликлиникой на 200 п/смену ОГАУЗ "Томский областной онкологический диспансер" )</t>
  </si>
  <si>
    <t>076N352270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</si>
  <si>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</si>
  <si>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</si>
  <si>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</si>
  <si>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</si>
  <si>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Обновление материально-технической базы для формирования у обучающихся современных технологических и гуманитарных навыков</t>
  </si>
  <si>
    <t>091E151690</t>
  </si>
  <si>
    <t>Создание новых мест в общеобразовательных организациях, расположенных в сельской местности и поселках городского типа (Корниловская СОШ)</t>
  </si>
  <si>
    <t>241E152300</t>
  </si>
  <si>
    <t xml:space="preserve">Создание новых мест в общеобразовательных организациях </t>
  </si>
  <si>
    <t>241E155200</t>
  </si>
  <si>
    <t>Оснащение зданий средствами обучения и воспитания для размещения общеобразовательных организаций</t>
  </si>
  <si>
    <t>241E155201</t>
  </si>
  <si>
    <t>3.2</t>
  </si>
  <si>
    <t>Региональный проект "Цифровая образовательная среда", всего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</si>
  <si>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</si>
  <si>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091E452100</t>
  </si>
  <si>
    <t>Департамент профессионального образования Томской области</t>
  </si>
  <si>
    <t>093E452100</t>
  </si>
  <si>
    <t>Внедрение и функционирование целевой модели цифровой образовательной среды в общеобразовательных организациях</t>
  </si>
  <si>
    <t>091E452101</t>
  </si>
  <si>
    <t>Функционирование целевой модели цифровой образовательной среды в профессиональных образовательных организациях</t>
  </si>
  <si>
    <t>093E452101</t>
  </si>
  <si>
    <t>3.3</t>
  </si>
  <si>
    <t>Региональный проект "Успех каждого ребенка", всего</t>
  </si>
  <si>
    <t>Создание в общеобразовательных организациях, расположенных в сельской местности, условий для занятий физической культурой и спортом</t>
  </si>
  <si>
    <t>092E250970</t>
  </si>
  <si>
    <t>Создание центров выявления и поддержки одаренных детей</t>
  </si>
  <si>
    <t>091E251890</t>
  </si>
  <si>
    <t>Формирование современных управленческих и организационно-экономических механизмов в системе дополнительного образования детей в субъектах Российской Федерации</t>
  </si>
  <si>
    <t>091E255370</t>
  </si>
  <si>
    <t>Внедрение целевой модели развития региональных систем дополнительного образования детей</t>
  </si>
  <si>
    <t>091E255371</t>
  </si>
  <si>
    <t xml:space="preserve">Реализация пилотных проектов по обновлению содержания и технологий дополнительного образования по приоритетным направлениям </t>
  </si>
  <si>
    <t>091E262352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</si>
  <si>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</si>
  <si>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</si>
  <si>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Разработка и распространение в системе среднего профессионального образования новых образовательных технологий и формы опережающей профессиональной подготовки</t>
  </si>
  <si>
    <t>093E651770</t>
  </si>
  <si>
    <t>Функционирование центра опережающей профессиональной подготовки</t>
  </si>
  <si>
    <t>093E651771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</si>
  <si>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</si>
  <si>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093E661624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</si>
  <si>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</si>
  <si>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093E661634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</si>
  <si>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</si>
  <si>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093E661635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</si>
  <si>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</si>
  <si>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093E661636</t>
  </si>
  <si>
    <t>3.5</t>
  </si>
  <si>
    <t>Региональный проект "Учитель будущего", всего</t>
  </si>
  <si>
    <t>Обеспечение непрерывного и планомерного повышения квалификации педагогических работников</t>
  </si>
  <si>
    <t>091E516200</t>
  </si>
  <si>
    <t>3.6</t>
  </si>
  <si>
    <t>Региональный проект "Поддержка семей, имеющих детей", всего</t>
  </si>
  <si>
    <t>Государственная поддержка некоммерческих организаций в целях оказания психолого-педагогической, методической и консультативной помощи гражданам, имеющим детей</t>
  </si>
  <si>
    <t>091E362292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</si>
  <si>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</si>
  <si>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</si>
  <si>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</si>
  <si>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</si>
  <si>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Подготовка кадров для цифровой экономики</t>
  </si>
  <si>
    <t>091D309100</t>
  </si>
  <si>
    <t>Проведение тематических смен в сезонных лагерях для школьников по передовым направлениям дискретной математики, информатики, цифровых технологий</t>
  </si>
  <si>
    <t>091D362357</t>
  </si>
  <si>
    <t>Государственная поддержка создания и функционирования организаций дополнительного образования детей и (или) детских объединений на базе школ для углубленного изучения математики и информатики</t>
  </si>
  <si>
    <t>091D364157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</si>
  <si>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</si>
  <si>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</si>
  <si>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</si>
  <si>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</si>
  <si>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024D500400</t>
  </si>
  <si>
    <t>4.3</t>
  </si>
  <si>
    <t>Региональный проект "Информационная безопасность"</t>
  </si>
  <si>
    <t>Обеспечение использования отечественных разработок в технологии при передаче, обработке и хранении данных</t>
  </si>
  <si>
    <t>Администрация Томской области</t>
  </si>
  <si>
    <t>201D461632</t>
  </si>
  <si>
    <t>4.4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</si>
  <si>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</si>
  <si>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</si>
  <si>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201D620400</t>
  </si>
  <si>
    <t>Обеспечение функционирования и развития инфраструктуры электронного правительства, а также информационных систем, направленных на предоставление государственных функций в электронном виде</t>
  </si>
  <si>
    <t>201D623600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</si>
  <si>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</si>
  <si>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201D623500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</si>
  <si>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</si>
  <si>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201D622500</t>
  </si>
  <si>
    <t xml:space="preserve"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 инфраструктурах, технологических и методологических решениях </t>
  </si>
  <si>
    <t>201D622700</t>
  </si>
  <si>
    <t>4.5</t>
  </si>
  <si>
    <t>Региональный проект "Информационная инфраструктура"</t>
  </si>
  <si>
    <t>Развертывание сетей сбора телеметрической информации на приоритетных объектах транспортной инфраструктуры</t>
  </si>
  <si>
    <t>182D206800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</si>
  <si>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</si>
  <si>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</si>
  <si>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</si>
  <si>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</si>
  <si>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</si>
  <si>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>251F255550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</si>
  <si>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</si>
  <si>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251F254240</t>
  </si>
  <si>
    <t xml:space="preserve">5.2  </t>
  </si>
  <si>
    <t>Региональный проект "Обеспечение устойчивого  сокращения непригодного для проживания жилищного фонда"</t>
  </si>
  <si>
    <t>026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</si>
  <si>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</si>
  <si>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132F367483</t>
  </si>
  <si>
    <t>Переселение граждан из аварийного жилищного фонда за счет средств областного бюджета</t>
  </si>
  <si>
    <t>132F367484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</si>
  <si>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</si>
  <si>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</si>
  <si>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</si>
  <si>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</si>
  <si>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</si>
  <si>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</si>
  <si>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153GA54290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</si>
  <si>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</si>
  <si>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153GA54300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</si>
  <si>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</si>
  <si>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153GA54320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</si>
  <si>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</si>
  <si>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</si>
  <si>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</si>
  <si>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</si>
  <si>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191G552430</t>
  </si>
  <si>
    <t>6.3</t>
  </si>
  <si>
    <t xml:space="preserve"> Региональный проект «Комплексная система обращения с твердыми коммунальными отходами», всего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</si>
  <si>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</t>
  </si>
  <si>
    <t>Департамент природных ресурсов и охраны окружающей среды Томской области</t>
  </si>
  <si>
    <t>151G252970</t>
  </si>
  <si>
    <t>6.4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</si>
  <si>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</si>
  <si>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</si>
  <si>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152G850570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</si>
  <si>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</si>
  <si>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</si>
  <si>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</si>
  <si>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</si>
  <si>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</si>
  <si>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</si>
  <si>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182R153930</t>
  </si>
  <si>
    <t>8</t>
  </si>
  <si>
    <t>Национальный проект "Культура"</t>
  </si>
  <si>
    <t>8.1</t>
  </si>
  <si>
    <t>Региональный проект "Культурная среда", всего</t>
  </si>
  <si>
    <t>Государственная поддержка отрасли культуры  (Капитальный ремонт Дома культуры в п.Самуськи)</t>
  </si>
  <si>
    <t>101A155190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</si>
  <si>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</si>
  <si>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Департамент по культуре Томской области</t>
  </si>
  <si>
    <t>101A154540</t>
  </si>
  <si>
    <t>8.2</t>
  </si>
  <si>
    <t>Региональный проект "Цифровая культура"</t>
  </si>
  <si>
    <t>Создание виртуальных концертных залов</t>
  </si>
  <si>
    <t>101A354530</t>
  </si>
  <si>
    <t>8.3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</si>
  <si>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</si>
  <si>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</si>
  <si>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101A204300</t>
  </si>
  <si>
    <t>Реализация программ, направленных на укрепление единства нации, духовно-нравственное и патриотическое воспитание</t>
  </si>
  <si>
    <t>101A2Д0851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</si>
  <si>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</si>
  <si>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</si>
  <si>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</si>
  <si>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</si>
  <si>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Развитие и обеспечение деятельности Гарантийного фонда Томской области</t>
  </si>
  <si>
    <t>031I455271</t>
  </si>
  <si>
    <t>9.2</t>
  </si>
  <si>
    <t>Региональный проект "Акселерация субъектов малого и среднего предпринимательства", всего</t>
  </si>
  <si>
    <t>Государственная поддержка малого и среднего предпринимательства в субъектах Российской Федерации</t>
  </si>
  <si>
    <t>031I555270</t>
  </si>
  <si>
    <t>Субсидии бюджетам монопрофильных муниципальных образований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</si>
  <si>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031I555272</t>
  </si>
  <si>
    <t>Организация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</si>
  <si>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031I555273</t>
  </si>
  <si>
    <t>Развитие региональной гарантийной организации в целях ускоренного развития субъектов малого и среднего предпринимательства в моногородах</t>
  </si>
  <si>
    <t>031I555274</t>
  </si>
  <si>
    <t>9.3</t>
  </si>
  <si>
    <t>Региональный проект "Популяризация предпринимательства", всего</t>
  </si>
  <si>
    <t>031I855270</t>
  </si>
  <si>
    <t>9.4</t>
  </si>
  <si>
    <t>Региональный проект "Создание системы поддержки фермеров и развитие сельской кооперации"</t>
  </si>
  <si>
    <t>Гранты "Агростартап" на реализацию проектов создания и развития крестьянских (фермерских) хозяйств</t>
  </si>
  <si>
    <t>Департамент по социально-экономическому развитию села Томской области</t>
  </si>
  <si>
    <t>061I754801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</si>
  <si>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</si>
  <si>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061I754802</t>
  </si>
  <si>
    <t>062I754802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</si>
  <si>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</si>
  <si>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</si>
  <si>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</si>
  <si>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</si>
  <si>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Государственная поддержка субъектов Российской Федерации - участников национального проекта "Повышение производительности труда и поддержка занятости"</t>
  </si>
  <si>
    <t>035L252960</t>
  </si>
  <si>
    <t>Реализация мероприятий по созданию, техническому оснащению и организационно-методическому сопровождению учебной производственной площадки "Фабрика процессов"</t>
  </si>
  <si>
    <t>035L252961</t>
  </si>
  <si>
    <t>10.2</t>
  </si>
  <si>
    <t>Региональный проект "Поддержка занятости и повышение эффективности рынка труда для обеспечения роста производительности труда"</t>
  </si>
  <si>
    <t>Переобучение, повышение квалификации работников предприятий в целях поддержки занятости и повышения эффективности рынка труда</t>
  </si>
  <si>
    <t>051L355690</t>
  </si>
  <si>
    <t>Возмещение затрат организациям – участникам регионального проекта "Поддержка занятости и повышение эффективности рынка труда для обеспечения роста производительности труда" на переобучение, повышение квалификации работников</t>
  </si>
  <si>
    <t>051L355691</t>
  </si>
  <si>
    <t>* по данным сводной бюджетной росписи областного бюджета на 2019 годы по состоянию на отчетную дату; лимиты бюджетных обязательств соответствуют плановым назначениям</t>
  </si>
  <si>
    <t>** по данным финансовых органов муниципальных образований (средства на софинансирование региональных проектов за счет местных бюджетов)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</si>
</sst>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#,##0.0000"/>
    <numFmt numFmtId="166" formatCode="0.0%"/>
    <numFmt numFmtId="167" formatCode="0.0"/>
  </numFmts>
  <fonts count="13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sz val="10"/>
      <color indexed="64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indexed="65"/>
      </patternFill>
    </fill>
    <fill>
      <patternFill patternType="solid">
        <fgColor theme="6" tint="0.39997558519241921"/>
        <bgColor theme="6" tint="0.39997558519241921"/>
      </patternFill>
    </fill>
    <fill>
      <patternFill patternType="solid">
        <fgColor theme="9" tint="0.39997558519241921"/>
        <bgColor theme="9" tint="0.39997558519241921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11" fontId="0" fillId="0" borderId="0" xfId="0" applyNumberFormat="1"/>
    <xf numFmtId="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49" fontId="2" fillId="0" borderId="7" xfId="0" applyNumberFormat="1" applyFont="1" applyBorder="1" applyAlignment="1">
      <alignment horizontal="center" vertical="top"/>
    </xf>
    <xf numFmtId="0" fontId="2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top"/>
    </xf>
    <xf numFmtId="0" fontId="2" fillId="0" borderId="6" xfId="0" applyFont="1" applyBorder="1" applyAlignment="1">
      <alignment horizontal="left" vertical="center" wrapText="1"/>
    </xf>
    <xf numFmtId="164" fontId="5" fillId="0" borderId="7" xfId="0" applyNumberFormat="1" applyFont="1" applyBorder="1" applyAlignment="1">
      <alignment horizontal="center" vertical="top" wrapText="1"/>
    </xf>
    <xf numFmtId="164" fontId="5" fillId="2" borderId="7" xfId="0" applyNumberFormat="1" applyFont="1" applyFill="1" applyBorder="1" applyAlignment="1">
      <alignment horizontal="center" vertical="top" wrapText="1"/>
    </xf>
    <xf numFmtId="166" fontId="5" fillId="2" borderId="7" xfId="0" applyNumberFormat="1" applyFont="1" applyFill="1" applyBorder="1" applyAlignment="1">
      <alignment horizontal="center" vertical="top" wrapText="1"/>
    </xf>
    <xf numFmtId="49" fontId="2" fillId="3" borderId="7" xfId="0" applyNumberFormat="1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center" vertical="top"/>
    </xf>
    <xf numFmtId="164" fontId="2" fillId="3" borderId="7" xfId="0" applyNumberFormat="1" applyFont="1" applyFill="1" applyBorder="1" applyAlignment="1">
      <alignment horizontal="center" vertical="top"/>
    </xf>
    <xf numFmtId="166" fontId="5" fillId="3" borderId="7" xfId="0" applyNumberFormat="1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top"/>
    </xf>
    <xf numFmtId="164" fontId="2" fillId="0" borderId="7" xfId="0" applyNumberFormat="1" applyFont="1" applyBorder="1" applyAlignment="1">
      <alignment horizontal="center" vertical="top"/>
    </xf>
    <xf numFmtId="4" fontId="6" fillId="4" borderId="0" xfId="0" applyNumberFormat="1" applyFont="1" applyFill="1" applyAlignment="1">
      <alignment horizontal="right"/>
    </xf>
    <xf numFmtId="0" fontId="4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top"/>
    </xf>
    <xf numFmtId="164" fontId="4" fillId="0" borderId="7" xfId="0" applyNumberFormat="1" applyFont="1" applyBorder="1" applyAlignment="1">
      <alignment horizontal="center" vertical="top"/>
    </xf>
    <xf numFmtId="0" fontId="7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164" fontId="4" fillId="2" borderId="7" xfId="0" applyNumberFormat="1" applyFont="1" applyFill="1" applyBorder="1" applyAlignment="1">
      <alignment horizontal="center" vertical="top"/>
    </xf>
    <xf numFmtId="49" fontId="2" fillId="5" borderId="7" xfId="0" applyNumberFormat="1" applyFont="1" applyFill="1" applyBorder="1" applyAlignment="1">
      <alignment horizontal="center" vertical="top"/>
    </xf>
    <xf numFmtId="0" fontId="2" fillId="5" borderId="7" xfId="0" applyFont="1" applyFill="1" applyBorder="1" applyAlignment="1">
      <alignment horizontal="left" vertical="center"/>
    </xf>
    <xf numFmtId="0" fontId="2" fillId="5" borderId="7" xfId="0" applyFont="1" applyFill="1" applyBorder="1" applyAlignment="1">
      <alignment horizontal="center" vertical="top"/>
    </xf>
    <xf numFmtId="164" fontId="2" fillId="5" borderId="7" xfId="0" applyNumberFormat="1" applyFont="1" applyFill="1" applyBorder="1" applyAlignment="1">
      <alignment horizontal="center" vertical="top"/>
    </xf>
    <xf numFmtId="0" fontId="8" fillId="0" borderId="0" xfId="0" applyFont="1"/>
    <xf numFmtId="49" fontId="9" fillId="0" borderId="7" xfId="0" applyNumberFormat="1" applyFont="1" applyBorder="1" applyAlignment="1">
      <alignment horizontal="center" vertical="top"/>
    </xf>
    <xf numFmtId="0" fontId="10" fillId="0" borderId="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 wrapText="1"/>
    </xf>
    <xf numFmtId="164" fontId="11" fillId="0" borderId="7" xfId="0" applyNumberFormat="1" applyFont="1" applyBorder="1" applyAlignment="1">
      <alignment horizontal="center" vertical="top"/>
    </xf>
    <xf numFmtId="164" fontId="9" fillId="0" borderId="7" xfId="0" applyNumberFormat="1" applyFont="1" applyBorder="1" applyAlignment="1">
      <alignment horizontal="center" vertical="top"/>
    </xf>
    <xf numFmtId="11" fontId="4" fillId="0" borderId="7" xfId="0" applyNumberFormat="1" applyFont="1" applyBorder="1" applyAlignment="1">
      <alignment horizontal="center" vertical="top"/>
    </xf>
    <xf numFmtId="0" fontId="2" fillId="3" borderId="7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top" wrapText="1"/>
    </xf>
    <xf numFmtId="4" fontId="2" fillId="0" borderId="7" xfId="0" applyNumberFormat="1" applyFont="1" applyBorder="1" applyAlignment="1">
      <alignment horizontal="center" vertical="top"/>
    </xf>
    <xf numFmtId="0" fontId="12" fillId="0" borderId="0" xfId="0" applyFont="1"/>
    <xf numFmtId="0" fontId="12" fillId="0" borderId="0" xfId="0" applyFont="1" applyAlignment="1">
      <alignment vertical="center"/>
    </xf>
    <xf numFmtId="167" fontId="0" fillId="0" borderId="0" xfId="0" applyNumberFormat="1"/>
    <xf numFmtId="166" fontId="2" fillId="3" borderId="7" xfId="0" applyNumberFormat="1" applyFont="1" applyFill="1" applyBorder="1" applyAlignment="1">
      <alignment horizontal="center" vertical="top"/>
    </xf>
    <xf numFmtId="164" fontId="0" fillId="6" borderId="0" xfId="0" applyNumberFormat="1" applyFill="1"/>
    <xf numFmtId="166" fontId="2" fillId="5" borderId="7" xfId="0" applyNumberFormat="1" applyFont="1" applyFill="1" applyBorder="1" applyAlignment="1">
      <alignment horizontal="center" vertical="top"/>
    </xf>
    <xf numFmtId="164" fontId="0" fillId="3" borderId="0" xfId="0" applyNumberForma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/>
    <xf numFmtId="0" fontId="3" fillId="0" borderId="6" xfId="0" applyFont="1" applyBorder="1"/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164" fontId="4" fillId="0" borderId="5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usernames" Target="revisions/userName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13" Type="http://schemas.openxmlformats.org/officeDocument/2006/relationships/revisionLog" Target="revisionLog13.xml"/><Relationship Id="rId3" Type="http://schemas.openxmlformats.org/officeDocument/2006/relationships/revisionLog" Target="revisionLog3.xml"/><Relationship Id="rId7" Type="http://schemas.openxmlformats.org/officeDocument/2006/relationships/revisionLog" Target="revisionLog7.xml"/><Relationship Id="rId12" Type="http://schemas.openxmlformats.org/officeDocument/2006/relationships/revisionLog" Target="revisionLog12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Relationship Id="rId6" Type="http://schemas.openxmlformats.org/officeDocument/2006/relationships/revisionLog" Target="revisionLog6.xml"/><Relationship Id="rId11" Type="http://schemas.openxmlformats.org/officeDocument/2006/relationships/revisionLog" Target="revisionLog11.xml"/><Relationship Id="rId5" Type="http://schemas.openxmlformats.org/officeDocument/2006/relationships/revisionLog" Target="revisionLog5.xml"/><Relationship Id="rId15" Type="http://schemas.openxmlformats.org/officeDocument/2006/relationships/revisionLog" Target="revisionLog15.xml"/><Relationship Id="rId10" Type="http://schemas.openxmlformats.org/officeDocument/2006/relationships/revisionLog" Target="revisionLog10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Relationship Id="rId14" Type="http://schemas.openxmlformats.org/officeDocument/2006/relationships/revisionLog" Target="revisionLog14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EAD880BF-23EE-485F-A093-A9C22CDEC058}" diskRevisions="1" revisionId="174" version="15">
  <header guid="{EBD09C29-3FB2-425C-8269-A9F921FF7D27}" dateTime="2025-03-04T13:53:52" maxSheetId="3" userName="Кузнецова Мария Павловна (gmp)" r:id="rId1">
    <sheetIdMap count="2">
      <sheetId val="1"/>
      <sheetId val="2"/>
    </sheetIdMap>
  </header>
  <header guid="{C5814F67-D662-4D22-83E4-C3921B32CE0C}" dateTime="2025-03-04T13:54:39" maxSheetId="3" userName="Приставка Виктория Николаевна (pvn)" r:id="rId2" minRId="1">
    <sheetIdMap count="2">
      <sheetId val="1"/>
      <sheetId val="2"/>
    </sheetIdMap>
  </header>
  <header guid="{86475435-A163-4D73-A186-EA4149B1FEC4}" dateTime="2025-03-04T13:56:08" maxSheetId="3" userName="Кузнецова Мария Павловна (gmp)" r:id="rId3" minRId="3" maxRId="11">
    <sheetIdMap count="2">
      <sheetId val="1"/>
      <sheetId val="2"/>
    </sheetIdMap>
  </header>
  <header guid="{2E72F4FD-C78A-464D-86D9-965829C0634C}" dateTime="2025-03-04T13:59:24" maxSheetId="3" userName="Приставка Виктория Николаевна (pvn)" r:id="rId4" minRId="13" maxRId="16">
    <sheetIdMap count="2">
      <sheetId val="1"/>
      <sheetId val="2"/>
    </sheetIdMap>
  </header>
  <header guid="{8A4558AA-C686-4495-A507-5CBB0288B5B0}" dateTime="2025-03-04T14:00:17" maxSheetId="3" userName="Кузнецова Мария Павловна (gmp)" r:id="rId5" minRId="19" maxRId="26">
    <sheetIdMap count="2">
      <sheetId val="1"/>
      <sheetId val="2"/>
    </sheetIdMap>
  </header>
  <header guid="{19872284-7A75-4C42-A1F4-92AF2F576380}" dateTime="2025-03-04T14:00:24" maxSheetId="3" userName="Приставка Виктория Николаевна (pvn)" r:id="rId6" minRId="28" maxRId="29">
    <sheetIdMap count="2">
      <sheetId val="1"/>
      <sheetId val="2"/>
    </sheetIdMap>
  </header>
  <header guid="{A474AE85-ECB2-4672-9DF0-E67A7BD24CCC}" dateTime="2025-03-04T14:01:21" maxSheetId="3" userName="Кузнецова Мария Павловна (gmp)" r:id="rId7" minRId="30">
    <sheetIdMap count="2">
      <sheetId val="1"/>
      <sheetId val="2"/>
    </sheetIdMap>
  </header>
  <header guid="{E70ECF55-8848-449D-8E8F-103294B70123}" dateTime="2025-03-04T14:07:58" maxSheetId="3" userName="Приставка Виктория Николаевна (pvn)" r:id="rId8" minRId="31" maxRId="34">
    <sheetIdMap count="2">
      <sheetId val="1"/>
      <sheetId val="2"/>
    </sheetIdMap>
  </header>
  <header guid="{B8D37952-6913-4015-A22F-1EF6FB85A08E}" dateTime="2025-03-04T14:08:05" maxSheetId="3" userName="Кузнецова Мария Павловна (gmp)" r:id="rId9" minRId="35" maxRId="60">
    <sheetIdMap count="2">
      <sheetId val="1"/>
      <sheetId val="2"/>
    </sheetIdMap>
  </header>
  <header guid="{61F6E446-E4AB-4C1A-97DB-89496BE38353}" dateTime="2025-03-04T14:10:28" maxSheetId="3" userName="Кузнецова Мария Павловна (gmp)" r:id="rId10" minRId="62" maxRId="72">
    <sheetIdMap count="2">
      <sheetId val="1"/>
      <sheetId val="2"/>
    </sheetIdMap>
  </header>
  <header guid="{6AA741DB-2320-4694-AA7F-66F0BB05E60A}" dateTime="2025-03-04T14:14:37" maxSheetId="3" userName="Кузнецова Мария Павловна (gmp)" r:id="rId11" minRId="74" maxRId="83">
    <sheetIdMap count="2">
      <sheetId val="1"/>
      <sheetId val="2"/>
    </sheetIdMap>
  </header>
  <header guid="{51E48F4C-F2AA-4497-A2E1-1C8225274B28}" dateTime="2025-03-04T14:15:37" maxSheetId="3" userName="Кузнецова Мария Павловна (gmp)" r:id="rId12" minRId="85" maxRId="86">
    <sheetIdMap count="2">
      <sheetId val="1"/>
      <sheetId val="2"/>
    </sheetIdMap>
  </header>
  <header guid="{916CBD1B-2902-4A7C-B110-47DB0C217636}" dateTime="2025-03-04T14:17:00" maxSheetId="3" userName="Кузнецова Мария Павловна (gmp)" r:id="rId13" minRId="87" maxRId="99">
    <sheetIdMap count="2">
      <sheetId val="1"/>
      <sheetId val="2"/>
    </sheetIdMap>
  </header>
  <header guid="{A58C0DF2-576F-4128-81F8-A8812A844251}" dateTime="2025-03-04T14:19:21" maxSheetId="3" userName="Кузнецова Мария Павловна (gmp)" r:id="rId14" minRId="101" maxRId="103">
    <sheetIdMap count="2">
      <sheetId val="1"/>
      <sheetId val="2"/>
    </sheetIdMap>
  </header>
  <header guid="{EAD880BF-23EE-485F-A093-A9C22CDEC058}" dateTime="2025-03-04T14:19:56" maxSheetId="3" userName="Кузнецова Мария Павловна (gmp)" r:id="rId15" minRId="104" maxRId="174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nc r="O174">
      <v>54983.3</v>
    </nc>
  </rcc>
  <rdn rId="0" localSheetId="1" customView="1" name="Z_967CB3D1_DF47_4293_9AC9_9958E25585CB_.wvu.FilterData" hidden="1" oldHidden="1">
    <formula>Лист1!$C$1:$C$185</formula>
  </rdn>
  <rcv guid="{967CB3D1-DF47-4293-9AC9-9958E25585CB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" sId="1">
    <nc r="O120">
      <v>0</v>
    </nc>
  </rcc>
  <rm rId="4" sheetId="1" source="O121:O122" destination="P121:P122" sourceSheetId="1"/>
  <rm rId="5" sheetId="1" source="O118" destination="O122" sourceSheetId="1"/>
  <rm rId="6" sheetId="1" source="P121:P122" destination="R120:R121" sourceSheetId="1"/>
  <rm rId="7" sheetId="1" source="O119" destination="P122" sourceSheetId="1"/>
  <rm rId="8" sheetId="1" source="R120" destination="O120" sourceSheetId="1">
    <rcc rId="0" sId="1">
      <nc r="O120">
        <v>0</v>
      </nc>
    </rcc>
  </rm>
  <rm rId="9" sheetId="1" source="R121" destination="P118" sourceSheetId="1"/>
  <rm rId="10" sheetId="1" source="O120" destination="O118" sourceSheetId="1"/>
  <rcc rId="11" sId="1" odxf="1" dxf="1">
    <nc r="P117">
      <f>O117-K117-L117</f>
    </nc>
    <odxf>
      <numFmt numFmtId="0" formatCode="General"/>
    </odxf>
    <ndxf>
      <numFmt numFmtId="164" formatCode="#,##0.0"/>
    </ndxf>
  </rcc>
  <rcv guid="{BAAD0889-191A-44A0-BA65-6A6E655C1D0D}" action="delete"/>
  <rdn rId="0" localSheetId="1" customView="1" name="Z_BAAD0889_191A_44A0_BA65_6A6E655C1D0D_.wvu.FilterData" hidden="1" oldHidden="1">
    <formula>Лист1!$C$1:$C$185</formula>
    <oldFormula>Лист1!$C$1:$C$185</oldFormula>
  </rdn>
  <rcv guid="{BAAD0889-191A-44A0-BA65-6A6E655C1D0D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" sId="1">
    <nc r="O159">
      <v>16405.099999999999</v>
    </nc>
  </rcc>
  <rcc rId="14" sId="1">
    <nc r="O162">
      <v>114390.3</v>
    </nc>
  </rcc>
  <rcc rId="15" sId="1">
    <nc r="O163">
      <v>10309.299999999999</v>
    </nc>
  </rcc>
  <rcc rId="16" sId="1">
    <nc r="O164">
      <v>7628.9</v>
    </nc>
  </rcc>
  <rcv guid="{967CB3D1-DF47-4293-9AC9-9958E25585CB}" action="delete"/>
  <rdn rId="0" localSheetId="1" customView="1" name="Z_967CB3D1_DF47_4293_9AC9_9958E25585CB_.wvu.Cols" hidden="1" oldHidden="1">
    <formula>Лист1!$D:$D</formula>
  </rdn>
  <rdn rId="0" localSheetId="1" customView="1" name="Z_967CB3D1_DF47_4293_9AC9_9958E25585CB_.wvu.FilterData" hidden="1" oldHidden="1">
    <formula>Лист1!$C$1:$C$185</formula>
    <oldFormula>Лист1!$C$1:$C$185</oldFormula>
  </rdn>
  <rcv guid="{967CB3D1-DF47-4293-9AC9-9958E25585CB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9" sId="1">
    <nc r="O125">
      <v>137759.1</v>
    </nc>
  </rcc>
  <rcc rId="20" sId="1" odxf="1" dxf="1">
    <nc r="P125">
      <f>O125-L125-K125</f>
    </nc>
    <odxf>
      <numFmt numFmtId="0" formatCode="General"/>
    </odxf>
    <ndxf>
      <numFmt numFmtId="164" formatCode="#,##0.0"/>
    </ndxf>
  </rcc>
  <rcc rId="21" sId="1" odxf="1" dxf="1">
    <nc r="P140">
      <f>O140-K140-L140</f>
    </nc>
    <odxf>
      <numFmt numFmtId="0" formatCode="General"/>
    </odxf>
    <ndxf>
      <numFmt numFmtId="164" formatCode="#,##0.0"/>
    </ndxf>
  </rcc>
  <rcc rId="22" sId="1">
    <nc r="O140">
      <v>2340995.7999999998</v>
    </nc>
  </rcc>
  <rcc rId="23" sId="1">
    <nc r="O144">
      <v>132248.9</v>
    </nc>
  </rcc>
  <rcc rId="24" sId="1" odxf="1" dxf="1">
    <nc r="P144">
      <f>O144-K144-L144</f>
    </nc>
    <odxf>
      <numFmt numFmtId="0" formatCode="General"/>
    </odxf>
    <ndxf>
      <numFmt numFmtId="164" formatCode="#,##0.0"/>
    </ndxf>
  </rcc>
  <rcc rId="25" sId="1">
    <nc r="O156">
      <v>213277.3</v>
    </nc>
  </rcc>
  <rcc rId="26" sId="1" odxf="1" dxf="1">
    <nc r="P156">
      <f>O156-K156-L156</f>
    </nc>
    <odxf>
      <numFmt numFmtId="0" formatCode="General"/>
    </odxf>
    <ndxf>
      <numFmt numFmtId="164" formatCode="#,##0.0"/>
    </ndxf>
  </rcc>
  <rcv guid="{BAAD0889-191A-44A0-BA65-6A6E655C1D0D}" action="delete"/>
  <rdn rId="0" localSheetId="1" customView="1" name="Z_BAAD0889_191A_44A0_BA65_6A6E655C1D0D_.wvu.FilterData" hidden="1" oldHidden="1">
    <formula>Лист1!$C$1:$C$185</formula>
    <oldFormula>Лист1!$C$1:$C$185</oldFormula>
  </rdn>
  <rcv guid="{BAAD0889-191A-44A0-BA65-6A6E655C1D0D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8" sId="1">
    <nc r="O165">
      <v>28124.799999999999</v>
    </nc>
  </rcc>
  <rcc rId="29" sId="1">
    <nc r="O168">
      <v>9090.4</v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0" sId="1" odxf="1" dxf="1">
    <nc r="P174">
      <f>O174-K174-L174</f>
    </nc>
    <odxf>
      <numFmt numFmtId="0" formatCode="General"/>
    </odxf>
    <ndxf>
      <numFmt numFmtId="164" formatCode="#,##0.0"/>
    </ndxf>
  </rcc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1" sId="1">
    <nc r="O171">
      <v>24926.9</v>
    </nc>
  </rcc>
  <rcc rId="32" sId="1">
    <nc r="O172">
      <v>1115.9000000000001</v>
    </nc>
  </rcc>
  <rcc rId="33" sId="1">
    <nc r="O22">
      <v>0</v>
    </nc>
  </rcc>
  <rfmt sheetId="1" sqref="O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family val="1"/>
        <charset val="204"/>
        <scheme val="none"/>
      </font>
      <numFmt numFmtId="164" formatCode="#,##0.0"/>
      <alignment horizontal="center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rfmt>
  <rcc rId="34" sId="1" numFmtId="4">
    <oc r="K23">
      <v>23347.5</v>
    </oc>
    <nc r="K23">
      <v>23347.599999999999</v>
    </nc>
  </rcc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5" sId="1">
    <nc r="P8">
      <v>9629010.9000000004</v>
    </nc>
  </rcc>
  <rm rId="36" sheetId="1" source="O8" destination="P10" sourceSheetId="1"/>
  <rm rId="37" sheetId="1" source="P8" destination="O8" sourceSheetId="1"/>
  <rcc rId="38" sId="1" odxf="1" dxf="1">
    <nc r="P8">
      <f>O8-K8-L8</f>
    </nc>
    <odxf>
      <numFmt numFmtId="0" formatCode="General"/>
    </odxf>
    <ndxf>
      <numFmt numFmtId="164" formatCode="#,##0.0"/>
    </ndxf>
  </rcc>
  <rm rId="39" sheetId="1" source="O10" destination="P9" sourceSheetId="1"/>
  <rm rId="40" sheetId="1" source="P10" destination="Q9" sourceSheetId="1"/>
  <rcc rId="41" sId="1">
    <nc r="O10">
      <v>255060.3</v>
    </nc>
  </rcc>
  <rcc rId="42" sId="1" odxf="1" dxf="1">
    <nc r="P10">
      <f>O10-K10-L10</f>
    </nc>
    <odxf>
      <numFmt numFmtId="0" formatCode="General"/>
    </odxf>
    <ndxf>
      <numFmt numFmtId="164" formatCode="#,##0.0"/>
    </ndxf>
  </rcc>
  <rcc rId="43" sId="1">
    <nc r="Q22">
      <v>62192.4</v>
    </nc>
  </rcc>
  <rcc rId="44" sId="1">
    <nc r="Q23">
      <v>9000</v>
    </nc>
  </rcc>
  <rcc rId="45" sId="1">
    <nc r="Q24">
      <v>20363.099999999999</v>
    </nc>
  </rcc>
  <rcc rId="46" sId="1">
    <nc r="Q25">
      <v>30000</v>
    </nc>
  </rcc>
  <rcc rId="47" sId="1">
    <nc r="Q26">
      <v>77138.7</v>
    </nc>
  </rcc>
  <rcc rId="48" sId="1">
    <nc r="Q27">
      <v>23347.599999999999</v>
    </nc>
  </rcc>
  <rm rId="49" sheetId="1" source="Q23" destination="O25" sourceSheetId="1"/>
  <rm rId="50" sheetId="1" source="Q22" destination="O27" sourceSheetId="1"/>
  <rm rId="51" sheetId="1" source="Q24" destination="O23" sourceSheetId="1"/>
  <rm rId="52" sheetId="1" source="Q26" destination="O24" sourceSheetId="1"/>
  <rm rId="53" sheetId="1" source="Q25" destination="O26" sourceSheetId="1"/>
  <rfmt sheetId="1" sqref="P22" start="0" length="0">
    <dxf>
      <numFmt numFmtId="164" formatCode="#,##0.0"/>
    </dxf>
  </rfmt>
  <rm rId="54" sheetId="1" source="O23" destination="Q23" sourceSheetId="1"/>
  <rcc rId="55" sId="1">
    <nc r="P22">
      <f>Q23-K22-L22</f>
    </nc>
  </rcc>
  <rcc rId="56" sId="1" odxf="1" dxf="1">
    <nc r="P23">
      <f>Q27-K23-L23</f>
    </nc>
    <odxf>
      <numFmt numFmtId="0" formatCode="General"/>
    </odxf>
    <ndxf>
      <numFmt numFmtId="164" formatCode="#,##0.0"/>
    </ndxf>
  </rcc>
  <rcc rId="57" sId="1" odxf="1" dxf="1">
    <nc r="P24">
      <f>O24-K24-L24</f>
    </nc>
    <odxf>
      <numFmt numFmtId="0" formatCode="General"/>
    </odxf>
    <ndxf>
      <numFmt numFmtId="164" formatCode="#,##0.0"/>
    </ndxf>
  </rcc>
  <rcc rId="58" sId="1" odxf="1" dxf="1">
    <nc r="P25">
      <f>O25-K25-L25</f>
    </nc>
    <odxf>
      <numFmt numFmtId="0" formatCode="General"/>
    </odxf>
    <ndxf>
      <numFmt numFmtId="164" formatCode="#,##0.0"/>
    </ndxf>
  </rcc>
  <rcc rId="59" sId="1" odxf="1" dxf="1">
    <nc r="P26">
      <f>O26-K26-L26</f>
    </nc>
    <odxf>
      <numFmt numFmtId="0" formatCode="General"/>
    </odxf>
    <ndxf>
      <numFmt numFmtId="164" formatCode="#,##0.0"/>
    </ndxf>
  </rcc>
  <rcc rId="60" sId="1" odxf="1" dxf="1">
    <nc r="P27">
      <f>O27-K27-L27</f>
    </nc>
    <odxf>
      <numFmt numFmtId="0" formatCode="General"/>
    </odxf>
    <ndxf>
      <numFmt numFmtId="164" formatCode="#,##0.0"/>
    </ndxf>
  </rcc>
  <rcv guid="{BAAD0889-191A-44A0-BA65-6A6E655C1D0D}" action="delete"/>
  <rdn rId="0" localSheetId="1" customView="1" name="Z_BAAD0889_191A_44A0_BA65_6A6E655C1D0D_.wvu.FilterData" hidden="1" oldHidden="1">
    <formula>Лист1!$C$1:$C$185</formula>
    <oldFormula>Лист1!$C$1:$C$185</oldFormula>
  </rdn>
  <rcv guid="{BAAD0889-191A-44A0-BA65-6A6E655C1D0D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2" sId="1">
    <nc r="O33">
      <v>1184114.8999999999</v>
    </nc>
  </rcc>
  <rcc rId="63" sId="1" odxf="1" dxf="1">
    <nc r="P33">
      <f>O33-K33-L33</f>
    </nc>
    <odxf>
      <numFmt numFmtId="0" formatCode="General"/>
    </odxf>
    <ndxf>
      <numFmt numFmtId="164" formatCode="#,##0.0"/>
    </ndxf>
  </rcc>
  <rcc rId="64" sId="1">
    <nc r="Q35">
      <v>6186.9</v>
    </nc>
  </rcc>
  <rcc rId="65" sId="1">
    <nc r="Q36">
      <v>418837.6</v>
    </nc>
  </rcc>
  <rcc rId="66" sId="1">
    <nc r="Q37">
      <v>759090.4</v>
    </nc>
  </rcc>
  <rm rId="67" sheetId="1" source="Q37" destination="O36" sourceSheetId="1"/>
  <rm rId="68" sheetId="1" source="Q36" destination="O35" sourceSheetId="1"/>
  <rm rId="69" sheetId="1" source="Q35" destination="P35" sourceSheetId="1"/>
  <rcc rId="70" sId="1" odxf="1" dxf="1">
    <nc r="Q35">
      <f>SUM(O35:P35)-J35</f>
    </nc>
    <odxf>
      <numFmt numFmtId="0" formatCode="General"/>
    </odxf>
    <ndxf>
      <numFmt numFmtId="164" formatCode="#,##0.0"/>
    </ndxf>
  </rcc>
  <rcc rId="71" sId="1" odxf="1" dxf="1">
    <nc r="Q36">
      <f>SUM(O36:P36)-J36</f>
    </nc>
    <odxf>
      <numFmt numFmtId="0" formatCode="General"/>
    </odxf>
    <ndxf>
      <numFmt numFmtId="164" formatCode="#,##0.0"/>
    </ndxf>
  </rcc>
  <rcc rId="72" sId="1" numFmtId="4">
    <oc r="K36">
      <f>659996.39+16932.73+5174.75+2033.8+27404.54+30270.95+24.28+6468.94+9771.93+215.37+798.68</f>
    </oc>
    <nc r="K36">
      <v>759090.4</v>
    </nc>
  </rcc>
  <rcv guid="{BAAD0889-191A-44A0-BA65-6A6E655C1D0D}" action="delete"/>
  <rdn rId="0" localSheetId="1" customView="1" name="Z_BAAD0889_191A_44A0_BA65_6A6E655C1D0D_.wvu.FilterData" hidden="1" oldHidden="1">
    <formula>Лист1!$C$1:$C$185</formula>
    <oldFormula>Лист1!$C$1:$C$185</oldFormula>
  </rdn>
  <rcv guid="{BAAD0889-191A-44A0-BA65-6A6E655C1D0D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4" sId="1">
    <nc r="O48">
      <v>80039.100000000006</v>
    </nc>
  </rcc>
  <rcc rId="75" sId="1" odxf="1" dxf="1">
    <nc r="P48">
      <f>O48-L48-K48</f>
    </nc>
    <odxf>
      <numFmt numFmtId="0" formatCode="General"/>
    </odxf>
    <ndxf>
      <numFmt numFmtId="164" formatCode="#,##0.0"/>
    </ndxf>
  </rcc>
  <rcc rId="76" sId="1" numFmtId="4">
    <oc r="L50">
      <f>6517+115.8+240.17+8683.98+58982.23</f>
    </oc>
    <nc r="L50">
      <v>74539.100000000006</v>
    </nc>
  </rcc>
  <rfmt sheetId="1" sqref="P56" start="0" length="0">
    <dxf>
      <numFmt numFmtId="164" formatCode="#,##0.0"/>
    </dxf>
  </rfmt>
  <rcc rId="77" sId="1">
    <nc r="P56">
      <f>O56-K56-L56</f>
    </nc>
  </rcc>
  <rcc rId="78" sId="1">
    <nc r="O56">
      <v>137438.79999999999</v>
    </nc>
  </rcc>
  <rcc rId="79" sId="1">
    <nc r="O60">
      <v>485853.7</v>
    </nc>
  </rcc>
  <rcc rId="80" sId="1" odxf="1" dxf="1">
    <nc r="P60">
      <f>O60-K60-L60</f>
    </nc>
    <odxf>
      <numFmt numFmtId="0" formatCode="General"/>
    </odxf>
    <ndxf>
      <numFmt numFmtId="164" formatCode="#,##0.0"/>
    </ndxf>
  </rcc>
  <rcc rId="81" sId="1">
    <nc r="O62">
      <v>223066.4</v>
    </nc>
  </rcc>
  <rcc rId="82" sId="1">
    <nc r="O63">
      <v>262787.3</v>
    </nc>
  </rcc>
  <rcc rId="83" sId="1">
    <oc r="L63">
      <f>204244.3</f>
    </oc>
    <nc r="L63">
      <f>204244.2</f>
    </nc>
  </rcc>
  <rcv guid="{BAAD0889-191A-44A0-BA65-6A6E655C1D0D}" action="delete"/>
  <rdn rId="0" localSheetId="1" customView="1" name="Z_BAAD0889_191A_44A0_BA65_6A6E655C1D0D_.wvu.FilterData" hidden="1" oldHidden="1">
    <formula>Лист1!$C$1:$C$185</formula>
    <oldFormula>Лист1!$C$1:$C$185</oldFormula>
  </rdn>
  <rcv guid="{BAAD0889-191A-44A0-BA65-6A6E655C1D0D}" action="add"/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5" sId="1">
    <nc r="O71">
      <v>37934.6</v>
    </nc>
  </rcc>
  <rcc rId="86" sId="1" odxf="1" dxf="1">
    <nc r="P71">
      <f>O71-K71-L71</f>
    </nc>
    <odxf>
      <numFmt numFmtId="0" formatCode="General"/>
    </odxf>
    <ndxf>
      <numFmt numFmtId="164" formatCode="#,##0.0"/>
    </ndxf>
  </rcc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7" sId="1">
    <nc r="P73">
      <v>27001.7</v>
    </nc>
  </rcc>
  <rcc rId="88" sId="1">
    <nc r="P74">
      <v>6249.9</v>
    </nc>
  </rcc>
  <rcc rId="89" sId="1">
    <nc r="P75">
      <v>4433</v>
    </nc>
  </rcc>
  <rcc rId="90" sId="1">
    <nc r="P76">
      <v>250</v>
    </nc>
  </rcc>
  <rm rId="91" sheetId="1" source="P75" destination="O74" sourceSheetId="1"/>
  <rm rId="92" sheetId="1" source="P73" destination="O73" sourceSheetId="1"/>
  <rm rId="93" sheetId="1" source="P76" destination="O76" sourceSheetId="1"/>
  <rm rId="94" sheetId="1" source="P74" destination="O75" sourceSheetId="1"/>
  <rcc rId="95" sId="1" odxf="1" dxf="1">
    <nc r="P73">
      <f>O73-J73</f>
    </nc>
    <odxf>
      <numFmt numFmtId="0" formatCode="General"/>
    </odxf>
    <ndxf>
      <numFmt numFmtId="164" formatCode="#,##0.0"/>
    </ndxf>
  </rcc>
  <rcc rId="96" sId="1" odxf="1" dxf="1">
    <nc r="P74">
      <f>O74-J74</f>
    </nc>
    <odxf>
      <numFmt numFmtId="0" formatCode="General"/>
    </odxf>
    <ndxf>
      <numFmt numFmtId="164" formatCode="#,##0.0"/>
    </ndxf>
  </rcc>
  <rcc rId="97" sId="1" odxf="1" dxf="1">
    <nc r="P75">
      <f>O75-J75</f>
    </nc>
    <odxf>
      <numFmt numFmtId="0" formatCode="General"/>
    </odxf>
    <ndxf>
      <numFmt numFmtId="164" formatCode="#,##0.0"/>
    </ndxf>
  </rcc>
  <rcc rId="98" sId="1" odxf="1" dxf="1">
    <nc r="P76">
      <f>O76-J76</f>
    </nc>
    <odxf>
      <numFmt numFmtId="0" formatCode="General"/>
    </odxf>
    <ndxf>
      <numFmt numFmtId="164" formatCode="#,##0.0"/>
    </ndxf>
  </rcc>
  <rcc rId="99" sId="1" numFmtId="4">
    <oc r="K73">
      <f>14.1+56.46+100.29+334.09+2.64+61.11+185.23+56.11</f>
    </oc>
    <nc r="K73">
      <v>810.1</v>
    </nc>
  </rcc>
  <rcv guid="{BAAD0889-191A-44A0-BA65-6A6E655C1D0D}" action="delete"/>
  <rdn rId="0" localSheetId="1" customView="1" name="Z_BAAD0889_191A_44A0_BA65_6A6E655C1D0D_.wvu.FilterData" hidden="1" oldHidden="1">
    <formula>Лист1!$C$1:$C$185</formula>
    <oldFormula>Лист1!$C$1:$C$185</oldFormula>
  </rdn>
  <rcv guid="{BAAD0889-191A-44A0-BA65-6A6E655C1D0D}" action="add"/>
</revisions>
</file>

<file path=xl/revisions/revisionLog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1" sId="1">
    <nc r="O96">
      <v>104117.1</v>
    </nc>
  </rcc>
  <rcc rId="102" sId="1" odxf="1" dxf="1">
    <nc r="P96">
      <f>O96-K96</f>
    </nc>
    <odxf>
      <numFmt numFmtId="0" formatCode="General"/>
    </odxf>
    <ndxf>
      <numFmt numFmtId="164" formatCode="#,##0.0"/>
    </ndxf>
  </rcc>
  <rcc rId="103" sId="1" numFmtId="4">
    <oc r="K106">
      <v>1282.46</v>
    </oc>
    <nc r="K106">
      <v>1282.4000000000001</v>
    </nc>
  </rcc>
</revision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4" sId="1">
    <oc r="O8">
      <v>9629010.9000000004</v>
    </oc>
    <nc r="O8"/>
  </rcc>
  <rcc rId="105" sId="1">
    <oc r="P8">
      <f>O8-K8-L8</f>
    </oc>
    <nc r="P8"/>
  </rcc>
  <rcc rId="106" sId="1">
    <oc r="O9">
      <f>K9+L9</f>
    </oc>
    <nc r="O9"/>
  </rcc>
  <rcc rId="107" sId="1" numFmtId="4">
    <oc r="P9">
      <v>2605167.2000000002</v>
    </oc>
    <nc r="P9"/>
  </rcc>
  <rcc rId="108" sId="1">
    <oc r="Q9">
      <f>O9-P9</f>
    </oc>
    <nc r="Q9"/>
  </rcc>
  <rcc rId="109" sId="1">
    <oc r="O10">
      <v>255060.3</v>
    </oc>
    <nc r="O10"/>
  </rcc>
  <rcc rId="110" sId="1">
    <oc r="P10">
      <f>O10-K10-L10</f>
    </oc>
    <nc r="P10"/>
  </rcc>
  <rcc rId="111" sId="1" numFmtId="4">
    <oc r="O22">
      <v>0</v>
    </oc>
    <nc r="O22"/>
  </rcc>
  <rcc rId="112" sId="1">
    <oc r="P22">
      <f>Q23-K22-L22</f>
    </oc>
    <nc r="P22"/>
  </rcc>
  <rcc rId="113" sId="1">
    <oc r="P23">
      <f>Q27-K23-L23</f>
    </oc>
    <nc r="P23"/>
  </rcc>
  <rcc rId="114" sId="1">
    <oc r="Q23">
      <v>20363.099999999999</v>
    </oc>
    <nc r="Q23"/>
  </rcc>
  <rcc rId="115" sId="1">
    <oc r="O24">
      <v>77138.7</v>
    </oc>
    <nc r="O24"/>
  </rcc>
  <rcc rId="116" sId="1">
    <oc r="P24">
      <f>O24-K24-L24</f>
    </oc>
    <nc r="P24"/>
  </rcc>
  <rcc rId="117" sId="1">
    <oc r="O25">
      <v>9000</v>
    </oc>
    <nc r="O25"/>
  </rcc>
  <rcc rId="118" sId="1">
    <oc r="P25">
      <f>O25-K25-L25</f>
    </oc>
    <nc r="P25"/>
  </rcc>
  <rcc rId="119" sId="1">
    <oc r="O26">
      <v>30000</v>
    </oc>
    <nc r="O26"/>
  </rcc>
  <rcc rId="120" sId="1">
    <oc r="P26">
      <f>O26-K26-L26</f>
    </oc>
    <nc r="P26"/>
  </rcc>
  <rcc rId="121" sId="1">
    <oc r="O27">
      <v>62192.4</v>
    </oc>
    <nc r="O27"/>
  </rcc>
  <rcc rId="122" sId="1">
    <oc r="P27">
      <f>O27-K27-L27</f>
    </oc>
    <nc r="P27"/>
  </rcc>
  <rcc rId="123" sId="1">
    <oc r="Q27">
      <v>23347.599999999999</v>
    </oc>
    <nc r="Q27"/>
  </rcc>
  <rcc rId="124" sId="1">
    <oc r="O33">
      <v>1184114.8999999999</v>
    </oc>
    <nc r="O33"/>
  </rcc>
  <rcc rId="125" sId="1">
    <oc r="P33">
      <f>O33-K33-L33</f>
    </oc>
    <nc r="P33"/>
  </rcc>
  <rcc rId="126" sId="1">
    <oc r="O35">
      <v>418837.6</v>
    </oc>
    <nc r="O35"/>
  </rcc>
  <rcc rId="127" sId="1">
    <oc r="P35">
      <v>6186.9</v>
    </oc>
    <nc r="P35"/>
  </rcc>
  <rcc rId="128" sId="1">
    <oc r="Q35">
      <f>SUM(O35:P35)-J35</f>
    </oc>
    <nc r="Q35"/>
  </rcc>
  <rcc rId="129" sId="1">
    <oc r="O36">
      <v>759090.4</v>
    </oc>
    <nc r="O36"/>
  </rcc>
  <rcc rId="130" sId="1">
    <oc r="Q36">
      <f>SUM(O36:P36)-J36</f>
    </oc>
    <nc r="Q36"/>
  </rcc>
  <rcc rId="131" sId="1">
    <oc r="O40">
      <v>1090774</v>
    </oc>
    <nc r="O40"/>
  </rcc>
  <rcc rId="132" sId="1">
    <oc r="P40">
      <f>O40-J40</f>
    </oc>
    <nc r="P40"/>
  </rcc>
  <rcc rId="133" sId="1">
    <oc r="O48">
      <v>80039.100000000006</v>
    </oc>
    <nc r="O48"/>
  </rcc>
  <rcc rId="134" sId="1">
    <oc r="P48">
      <f>O48-L48-K48</f>
    </oc>
    <nc r="P48"/>
  </rcc>
  <rcc rId="135" sId="1">
    <oc r="O56">
      <v>137438.79999999999</v>
    </oc>
    <nc r="O56"/>
  </rcc>
  <rcc rId="136" sId="1">
    <oc r="P56">
      <f>O56-K56-L56</f>
    </oc>
    <nc r="P56"/>
  </rcc>
  <rcc rId="137" sId="1">
    <oc r="O60">
      <v>485853.7</v>
    </oc>
    <nc r="O60"/>
  </rcc>
  <rcc rId="138" sId="1">
    <oc r="P60">
      <f>O60-K60-L60</f>
    </oc>
    <nc r="P60"/>
  </rcc>
  <rcc rId="139" sId="1">
    <oc r="O62">
      <v>223066.4</v>
    </oc>
    <nc r="O62"/>
  </rcc>
  <rcc rId="140" sId="1">
    <oc r="O63">
      <v>262787.3</v>
    </oc>
    <nc r="O63"/>
  </rcc>
  <rcc rId="141" sId="1">
    <oc r="O64">
      <v>2011061.3</v>
    </oc>
    <nc r="O64"/>
  </rcc>
  <rcc rId="142" sId="1">
    <oc r="P64">
      <f>O64-K64-L64</f>
    </oc>
    <nc r="P64"/>
  </rcc>
  <rcc rId="143" sId="1">
    <oc r="O71">
      <v>37934.6</v>
    </oc>
    <nc r="O71"/>
  </rcc>
  <rcc rId="144" sId="1">
    <oc r="P71">
      <f>O71-K71-L71</f>
    </oc>
    <nc r="P71"/>
  </rcc>
  <rcc rId="145" sId="1">
    <oc r="O73">
      <v>27001.7</v>
    </oc>
    <nc r="O73"/>
  </rcc>
  <rcc rId="146" sId="1">
    <oc r="P73">
      <f>O73-J73</f>
    </oc>
    <nc r="P73"/>
  </rcc>
  <rcc rId="147" sId="1">
    <oc r="O74">
      <v>4433</v>
    </oc>
    <nc r="O74"/>
  </rcc>
  <rcc rId="148" sId="1">
    <oc r="P74">
      <f>O74-J74</f>
    </oc>
    <nc r="P74"/>
  </rcc>
  <rcc rId="149" sId="1">
    <oc r="O75">
      <v>6249.9</v>
    </oc>
    <nc r="O75"/>
  </rcc>
  <rcc rId="150" sId="1">
    <oc r="P75">
      <f>O75-J75</f>
    </oc>
    <nc r="P75"/>
  </rcc>
  <rcc rId="151" sId="1">
    <oc r="O76">
      <v>250</v>
    </oc>
    <nc r="O76"/>
  </rcc>
  <rcc rId="152" sId="1">
    <oc r="P76">
      <f>O76-J76</f>
    </oc>
    <nc r="P76"/>
  </rcc>
  <rcc rId="153" sId="1">
    <oc r="O96">
      <v>104117.1</v>
    </oc>
    <nc r="O96"/>
  </rcc>
  <rcc rId="154" sId="1">
    <oc r="P96">
      <f>O96-K96</f>
    </oc>
    <nc r="P96"/>
  </rcc>
  <rcc rId="155" sId="1">
    <oc r="O117">
      <v>938626.9</v>
    </oc>
    <nc r="O117"/>
  </rcc>
  <rcc rId="156" sId="1">
    <oc r="P117">
      <f>O117-K117-L117</f>
    </oc>
    <nc r="P117"/>
  </rcc>
  <rcc rId="157" sId="1">
    <oc r="O125">
      <v>137759.1</v>
    </oc>
    <nc r="O125"/>
  </rcc>
  <rcc rId="158" sId="1">
    <oc r="P125">
      <f>O125-L125-K125</f>
    </oc>
    <nc r="P125"/>
  </rcc>
  <rcc rId="159" sId="1">
    <oc r="O140">
      <v>2340995.7999999998</v>
    </oc>
    <nc r="O140"/>
  </rcc>
  <rcc rId="160" sId="1">
    <oc r="P140">
      <f>O140-K140-L140</f>
    </oc>
    <nc r="P140"/>
  </rcc>
  <rcc rId="161" sId="1">
    <oc r="O144">
      <v>132248.9</v>
    </oc>
    <nc r="O144"/>
  </rcc>
  <rcc rId="162" sId="1">
    <oc r="P144">
      <f>O144-K144-L144</f>
    </oc>
    <nc r="P144"/>
  </rcc>
  <rcc rId="163" sId="1">
    <oc r="O156">
      <v>213277.3</v>
    </oc>
    <nc r="O156"/>
  </rcc>
  <rcc rId="164" sId="1">
    <oc r="P156">
      <f>O156-K156-L156</f>
    </oc>
    <nc r="P156"/>
  </rcc>
  <rcc rId="165" sId="1">
    <oc r="O159">
      <v>16405.099999999999</v>
    </oc>
    <nc r="O159"/>
  </rcc>
  <rcc rId="166" sId="1">
    <oc r="O162">
      <v>114390.3</v>
    </oc>
    <nc r="O162"/>
  </rcc>
  <rcc rId="167" sId="1">
    <oc r="O163">
      <v>10309.299999999999</v>
    </oc>
    <nc r="O163"/>
  </rcc>
  <rcc rId="168" sId="1">
    <oc r="O164">
      <v>7628.9</v>
    </oc>
    <nc r="O164"/>
  </rcc>
  <rcc rId="169" sId="1">
    <oc r="O165">
      <v>28124.799999999999</v>
    </oc>
    <nc r="O165"/>
  </rcc>
  <rcc rId="170" sId="1">
    <oc r="O168">
      <v>9090.4</v>
    </oc>
    <nc r="O168"/>
  </rcc>
  <rcc rId="171" sId="1">
    <oc r="O171">
      <v>24926.9</v>
    </oc>
    <nc r="O171"/>
  </rcc>
  <rcc rId="172" sId="1">
    <oc r="O172">
      <v>1115.9000000000001</v>
    </oc>
    <nc r="O172"/>
  </rcc>
  <rcc rId="173" sId="1">
    <oc r="O174">
      <v>54983.3</v>
    </oc>
    <nc r="O174"/>
  </rcc>
  <rcc rId="174" sId="1">
    <oc r="P174">
      <f>O174-K174-L174</f>
    </oc>
    <nc r="P174"/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6"/>
  <sheetViews>
    <sheetView tabSelected="1" zoomScale="70" zoomScaleNormal="70" workbookViewId="0">
      <selection activeCell="M6" sqref="M6"/>
    </sheetView>
  </sheetViews>
  <sheetFormatPr defaultColWidth="8.85546875" defaultRowHeight="15" x14ac:dyDescent="0.25"/>
  <cols>
    <col min="1" max="1" width="6.42578125" style="1" customWidth="1"/>
    <col min="2" max="2" width="49" style="2" customWidth="1"/>
    <col min="3" max="3" width="6" style="1" customWidth="1"/>
    <col min="4" max="4" width="21.5703125" style="1" hidden="1" customWidth="1"/>
    <col min="5" max="5" width="21.28515625" style="1" customWidth="1"/>
    <col min="6" max="6" width="15.5703125" style="1" customWidth="1"/>
    <col min="7" max="7" width="15.28515625" style="1" customWidth="1"/>
    <col min="8" max="9" width="16.7109375" style="1" customWidth="1"/>
    <col min="10" max="10" width="14.28515625" style="1" customWidth="1"/>
    <col min="11" max="11" width="17" style="1" customWidth="1"/>
    <col min="12" max="13" width="18" style="1" customWidth="1"/>
    <col min="14" max="14" width="11" style="1" customWidth="1"/>
    <col min="15" max="15" width="12.5703125" style="1" customWidth="1"/>
    <col min="16" max="16384" width="8.85546875" style="1"/>
  </cols>
  <sheetData>
    <row r="1" spans="1:17" ht="15" customHeight="1" x14ac:dyDescent="0.25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7" ht="37.5" customHeight="1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7" x14ac:dyDescent="0.25">
      <c r="E3" s="3"/>
      <c r="F3" s="4"/>
      <c r="G3" s="5"/>
      <c r="H3" s="5"/>
      <c r="I3" s="5"/>
      <c r="K3" s="5"/>
      <c r="L3" s="6"/>
      <c r="M3" s="5"/>
    </row>
    <row r="4" spans="1:17" ht="16.5" x14ac:dyDescent="0.25">
      <c r="A4" s="62" t="s">
        <v>1</v>
      </c>
      <c r="B4" s="65" t="s">
        <v>2</v>
      </c>
      <c r="C4" s="62" t="s">
        <v>3</v>
      </c>
      <c r="D4" s="62" t="s">
        <v>4</v>
      </c>
      <c r="E4" s="62" t="s">
        <v>5</v>
      </c>
      <c r="F4" s="70" t="s">
        <v>6</v>
      </c>
      <c r="G4" s="71"/>
      <c r="H4" s="71"/>
      <c r="I4" s="71"/>
      <c r="J4" s="71"/>
      <c r="K4" s="71"/>
      <c r="L4" s="71"/>
      <c r="M4" s="72"/>
      <c r="N4" s="62" t="s">
        <v>7</v>
      </c>
    </row>
    <row r="5" spans="1:17" ht="16.5" customHeight="1" x14ac:dyDescent="0.25">
      <c r="A5" s="63"/>
      <c r="B5" s="66"/>
      <c r="C5" s="63"/>
      <c r="D5" s="63"/>
      <c r="E5" s="68"/>
      <c r="F5" s="70" t="s">
        <v>8</v>
      </c>
      <c r="G5" s="71"/>
      <c r="H5" s="71"/>
      <c r="I5" s="72"/>
      <c r="J5" s="70" t="s">
        <v>9</v>
      </c>
      <c r="K5" s="71"/>
      <c r="L5" s="71"/>
      <c r="M5" s="72"/>
      <c r="N5" s="63"/>
    </row>
    <row r="6" spans="1:17" ht="71.45" customHeight="1" x14ac:dyDescent="0.25">
      <c r="A6" s="64"/>
      <c r="B6" s="67"/>
      <c r="C6" s="64"/>
      <c r="D6" s="64"/>
      <c r="E6" s="69"/>
      <c r="F6" s="8" t="s">
        <v>10</v>
      </c>
      <c r="G6" s="8" t="s">
        <v>11</v>
      </c>
      <c r="H6" s="8" t="s">
        <v>12</v>
      </c>
      <c r="I6" s="8" t="s">
        <v>13</v>
      </c>
      <c r="J6" s="8" t="s">
        <v>10</v>
      </c>
      <c r="K6" s="8" t="s">
        <v>11</v>
      </c>
      <c r="L6" s="8" t="s">
        <v>12</v>
      </c>
      <c r="M6" s="8" t="s">
        <v>13</v>
      </c>
      <c r="N6" s="64"/>
    </row>
    <row r="7" spans="1:17" ht="16.5" x14ac:dyDescent="0.25">
      <c r="A7" s="9" t="s">
        <v>14</v>
      </c>
      <c r="B7" s="10">
        <v>2</v>
      </c>
      <c r="C7" s="7">
        <v>3</v>
      </c>
      <c r="D7" s="7">
        <v>4</v>
      </c>
      <c r="E7" s="7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  <c r="L7" s="8">
        <v>12</v>
      </c>
      <c r="M7" s="8">
        <v>13</v>
      </c>
      <c r="N7" s="8">
        <v>14</v>
      </c>
    </row>
    <row r="8" spans="1:17" ht="17.25" x14ac:dyDescent="0.25">
      <c r="A8" s="11"/>
      <c r="B8" s="12" t="s">
        <v>15</v>
      </c>
      <c r="C8" s="7"/>
      <c r="D8" s="7"/>
      <c r="E8" s="7"/>
      <c r="F8" s="13">
        <f t="shared" ref="F8:M8" si="0">F9+F40+F64+F96+F117+F125+F140+F144+F156+F174</f>
        <v>11020957.9</v>
      </c>
      <c r="G8" s="14">
        <f t="shared" si="0"/>
        <v>3643493.9</v>
      </c>
      <c r="H8" s="14">
        <f t="shared" si="0"/>
        <v>6709560.0999999996</v>
      </c>
      <c r="I8" s="14">
        <f t="shared" si="0"/>
        <v>667903.80000000005</v>
      </c>
      <c r="J8" s="14">
        <f t="shared" si="0"/>
        <v>10288280.1</v>
      </c>
      <c r="K8" s="14">
        <f t="shared" si="0"/>
        <v>3492567</v>
      </c>
      <c r="L8" s="14">
        <f t="shared" si="0"/>
        <v>6136443.9000000004</v>
      </c>
      <c r="M8" s="14">
        <f t="shared" si="0"/>
        <v>659269.19999999995</v>
      </c>
      <c r="N8" s="15">
        <f t="shared" ref="N8:N71" si="1">J8/F8</f>
        <v>0.93400000000000005</v>
      </c>
      <c r="P8" s="5"/>
    </row>
    <row r="9" spans="1:17" ht="17.25" x14ac:dyDescent="0.25">
      <c r="A9" s="16">
        <v>1</v>
      </c>
      <c r="B9" s="17" t="s">
        <v>16</v>
      </c>
      <c r="C9" s="18" t="s">
        <v>17</v>
      </c>
      <c r="D9" s="18" t="s">
        <v>17</v>
      </c>
      <c r="E9" s="18" t="s">
        <v>17</v>
      </c>
      <c r="F9" s="19">
        <f t="shared" ref="F9:M9" si="2">F10+F20+F28+F33+F37</f>
        <v>3040622.5</v>
      </c>
      <c r="G9" s="19">
        <f t="shared" si="2"/>
        <v>1563011.2</v>
      </c>
      <c r="H9" s="19">
        <f t="shared" si="2"/>
        <v>1432604.4</v>
      </c>
      <c r="I9" s="19">
        <f t="shared" si="2"/>
        <v>45006.9</v>
      </c>
      <c r="J9" s="19">
        <f t="shared" si="2"/>
        <v>2647682.9</v>
      </c>
      <c r="K9" s="19">
        <f t="shared" si="2"/>
        <v>1458920.4</v>
      </c>
      <c r="L9" s="19">
        <f t="shared" si="2"/>
        <v>1146246.8</v>
      </c>
      <c r="M9" s="19">
        <f t="shared" si="2"/>
        <v>42515.7</v>
      </c>
      <c r="N9" s="20">
        <f t="shared" si="1"/>
        <v>0.871</v>
      </c>
      <c r="O9" s="5"/>
      <c r="P9" s="24"/>
      <c r="Q9" s="5"/>
    </row>
    <row r="10" spans="1:17" ht="33" x14ac:dyDescent="0.25">
      <c r="A10" s="9" t="s">
        <v>18</v>
      </c>
      <c r="B10" s="21" t="s">
        <v>19</v>
      </c>
      <c r="C10" s="22" t="s">
        <v>17</v>
      </c>
      <c r="D10" s="22" t="s">
        <v>17</v>
      </c>
      <c r="E10" s="22" t="s">
        <v>17</v>
      </c>
      <c r="F10" s="23">
        <f>SUM(G10:H10)</f>
        <v>348309.7</v>
      </c>
      <c r="G10" s="23">
        <f>SUM(G12:G19)</f>
        <v>14610.8</v>
      </c>
      <c r="H10" s="23">
        <f>SUM(H12:H19)</f>
        <v>333698.90000000002</v>
      </c>
      <c r="I10" s="23">
        <f>SUM(I12:I19)</f>
        <v>0</v>
      </c>
      <c r="J10" s="23">
        <f>SUM(K10:L10)</f>
        <v>255060.3</v>
      </c>
      <c r="K10" s="23">
        <f>SUM(K12:K19)</f>
        <v>11507.7</v>
      </c>
      <c r="L10" s="23">
        <f>SUM(L12:L19)</f>
        <v>243552.6</v>
      </c>
      <c r="M10" s="23">
        <f>SUM(M12:M19)</f>
        <v>0</v>
      </c>
      <c r="N10" s="15">
        <f t="shared" si="1"/>
        <v>0.73199999999999998</v>
      </c>
      <c r="P10" s="5"/>
    </row>
    <row r="11" spans="1:17" ht="17.25" x14ac:dyDescent="0.25">
      <c r="A11" s="9"/>
      <c r="B11" s="25" t="s">
        <v>20</v>
      </c>
      <c r="C11" s="26"/>
      <c r="D11" s="26"/>
      <c r="E11" s="26"/>
      <c r="F11" s="23"/>
      <c r="G11" s="27"/>
      <c r="H11" s="27"/>
      <c r="I11" s="27"/>
      <c r="J11" s="23"/>
      <c r="K11" s="27"/>
      <c r="L11" s="27"/>
      <c r="M11" s="27"/>
      <c r="N11" s="15"/>
    </row>
    <row r="12" spans="1:17" ht="66" x14ac:dyDescent="0.25">
      <c r="A12" s="9" t="s">
        <v>21</v>
      </c>
      <c r="B12" s="28" t="s">
        <v>22</v>
      </c>
      <c r="C12" s="26">
        <v>839</v>
      </c>
      <c r="D12" s="29" t="s">
        <v>23</v>
      </c>
      <c r="E12" s="26" t="s">
        <v>24</v>
      </c>
      <c r="F12" s="23">
        <f t="shared" ref="F12:F20" si="3">SUM(G12:H12)+I12</f>
        <v>16712.8</v>
      </c>
      <c r="G12" s="27">
        <f>1257.1-165.9-181.53-74.07</f>
        <v>835.6</v>
      </c>
      <c r="H12" s="27">
        <v>15877.2</v>
      </c>
      <c r="I12" s="27"/>
      <c r="J12" s="23">
        <f t="shared" ref="J12:J19" si="4">SUM(K12:L12)</f>
        <v>16712.8</v>
      </c>
      <c r="K12" s="27">
        <f>835.6</f>
        <v>835.6</v>
      </c>
      <c r="L12" s="27">
        <f>14613+1199.13+65.07</f>
        <v>15877.2</v>
      </c>
      <c r="M12" s="27"/>
      <c r="N12" s="15">
        <f t="shared" si="1"/>
        <v>1</v>
      </c>
    </row>
    <row r="13" spans="1:17" ht="82.5" x14ac:dyDescent="0.25">
      <c r="A13" s="59" t="s">
        <v>21</v>
      </c>
      <c r="B13" s="30" t="s">
        <v>25</v>
      </c>
      <c r="C13" s="31">
        <v>839</v>
      </c>
      <c r="D13" s="32" t="s">
        <v>23</v>
      </c>
      <c r="E13" s="26" t="s">
        <v>26</v>
      </c>
      <c r="F13" s="23">
        <f t="shared" si="3"/>
        <v>2640.9</v>
      </c>
      <c r="G13" s="27">
        <f>132</f>
        <v>132</v>
      </c>
      <c r="H13" s="27">
        <v>2508.9</v>
      </c>
      <c r="I13" s="27"/>
      <c r="J13" s="23">
        <f t="shared" si="4"/>
        <v>2640.9</v>
      </c>
      <c r="K13" s="27">
        <f>40.9+7.8+33.5+1.18+28.64+4.5+15.52</f>
        <v>132</v>
      </c>
      <c r="L13" s="27">
        <f>1562+22.42+544.11+85.5+294.86</f>
        <v>2508.9</v>
      </c>
      <c r="M13" s="27"/>
      <c r="N13" s="15">
        <f t="shared" si="1"/>
        <v>1</v>
      </c>
    </row>
    <row r="14" spans="1:17" ht="66" x14ac:dyDescent="0.25">
      <c r="A14" s="60"/>
      <c r="B14" s="33" t="s">
        <v>27</v>
      </c>
      <c r="C14" s="31">
        <v>839</v>
      </c>
      <c r="D14" s="32" t="s">
        <v>23</v>
      </c>
      <c r="E14" s="26" t="s">
        <v>28</v>
      </c>
      <c r="F14" s="23">
        <f t="shared" si="3"/>
        <v>9269.5</v>
      </c>
      <c r="G14" s="27">
        <f>222.6+181.53+59.36</f>
        <v>463.5</v>
      </c>
      <c r="H14" s="27">
        <f>4229.9+3448.98+1127.08</f>
        <v>8806</v>
      </c>
      <c r="I14" s="27"/>
      <c r="J14" s="23">
        <f>K14+L14</f>
        <v>9269.5</v>
      </c>
      <c r="K14" s="27">
        <v>463.5</v>
      </c>
      <c r="L14" s="27">
        <v>8806</v>
      </c>
      <c r="M14" s="27"/>
      <c r="N14" s="15">
        <f t="shared" si="1"/>
        <v>1</v>
      </c>
    </row>
    <row r="15" spans="1:17" ht="66" x14ac:dyDescent="0.25">
      <c r="A15" s="9"/>
      <c r="B15" s="28" t="s">
        <v>29</v>
      </c>
      <c r="C15" s="26">
        <v>809</v>
      </c>
      <c r="D15" s="29" t="s">
        <v>30</v>
      </c>
      <c r="E15" s="26" t="s">
        <v>31</v>
      </c>
      <c r="F15" s="23">
        <f t="shared" si="3"/>
        <v>2919.7</v>
      </c>
      <c r="G15" s="27">
        <f>3539.6-619.87</f>
        <v>2919.7</v>
      </c>
      <c r="H15" s="27"/>
      <c r="I15" s="27"/>
      <c r="J15" s="23">
        <f t="shared" si="4"/>
        <v>2698.9</v>
      </c>
      <c r="K15" s="34">
        <f>2634.9+56.39+7.65</f>
        <v>2698.9</v>
      </c>
      <c r="L15" s="27"/>
      <c r="M15" s="27"/>
      <c r="N15" s="15">
        <f t="shared" si="1"/>
        <v>0.92400000000000004</v>
      </c>
    </row>
    <row r="16" spans="1:17" ht="82.5" x14ac:dyDescent="0.25">
      <c r="A16" s="9" t="s">
        <v>21</v>
      </c>
      <c r="B16" s="28" t="s">
        <v>32</v>
      </c>
      <c r="C16" s="26">
        <v>811</v>
      </c>
      <c r="D16" s="29" t="s">
        <v>33</v>
      </c>
      <c r="E16" s="26" t="s">
        <v>34</v>
      </c>
      <c r="F16" s="23">
        <f t="shared" si="3"/>
        <v>1634.4</v>
      </c>
      <c r="G16" s="27"/>
      <c r="H16" s="27">
        <v>1634.4</v>
      </c>
      <c r="I16" s="27"/>
      <c r="J16" s="23">
        <f t="shared" si="4"/>
        <v>1625.5</v>
      </c>
      <c r="K16" s="27"/>
      <c r="L16" s="27">
        <v>1625.5</v>
      </c>
      <c r="M16" s="27"/>
      <c r="N16" s="15">
        <f t="shared" si="1"/>
        <v>0.995</v>
      </c>
    </row>
    <row r="17" spans="1:16" ht="82.5" x14ac:dyDescent="0.25">
      <c r="A17" s="9" t="s">
        <v>35</v>
      </c>
      <c r="B17" s="28" t="s">
        <v>36</v>
      </c>
      <c r="C17" s="26">
        <v>821</v>
      </c>
      <c r="D17" s="29" t="s">
        <v>37</v>
      </c>
      <c r="E17" s="26" t="s">
        <v>38</v>
      </c>
      <c r="F17" s="23">
        <f t="shared" si="3"/>
        <v>292352.09999999998</v>
      </c>
      <c r="G17" s="27">
        <f>8753.1+581.5</f>
        <v>9334.6</v>
      </c>
      <c r="H17" s="27">
        <v>283017.5</v>
      </c>
      <c r="I17" s="27"/>
      <c r="J17" s="23">
        <f t="shared" si="4"/>
        <v>200702.4</v>
      </c>
      <c r="K17" s="27">
        <f>3721.4+0.9+501.64-0.3+230.07+10.12+2035.28+64.26</f>
        <v>6563.4</v>
      </c>
      <c r="L17" s="27">
        <f>114409.4+29.21+16219.6-9.81+7439.07+53973.79+2077.7</f>
        <v>194139</v>
      </c>
      <c r="M17" s="27"/>
      <c r="N17" s="15">
        <f t="shared" si="1"/>
        <v>0.68700000000000006</v>
      </c>
    </row>
    <row r="18" spans="1:16" ht="66" x14ac:dyDescent="0.25">
      <c r="A18" s="9" t="s">
        <v>21</v>
      </c>
      <c r="B18" s="28" t="s">
        <v>39</v>
      </c>
      <c r="C18" s="26">
        <v>809</v>
      </c>
      <c r="D18" s="29" t="s">
        <v>30</v>
      </c>
      <c r="E18" s="26" t="s">
        <v>40</v>
      </c>
      <c r="F18" s="23">
        <f t="shared" si="3"/>
        <v>22780.3</v>
      </c>
      <c r="G18" s="27">
        <f>675.9+138.4+111.12</f>
        <v>925.4</v>
      </c>
      <c r="H18" s="27">
        <v>21854.9</v>
      </c>
      <c r="I18" s="27"/>
      <c r="J18" s="23">
        <f t="shared" si="4"/>
        <v>21410.3</v>
      </c>
      <c r="K18" s="27">
        <f>814.3</f>
        <v>814.3</v>
      </c>
      <c r="L18" s="27">
        <v>20596.02</v>
      </c>
      <c r="M18" s="27"/>
      <c r="N18" s="15">
        <f t="shared" si="1"/>
        <v>0.94</v>
      </c>
    </row>
    <row r="19" spans="1:16" ht="66" x14ac:dyDescent="0.25">
      <c r="A19" s="9"/>
      <c r="B19" s="28" t="s">
        <v>41</v>
      </c>
      <c r="C19" s="26">
        <v>821</v>
      </c>
      <c r="D19" s="29" t="s">
        <v>37</v>
      </c>
      <c r="E19" s="26" t="s">
        <v>42</v>
      </c>
      <c r="F19" s="23">
        <f t="shared" si="3"/>
        <v>0</v>
      </c>
      <c r="G19" s="27">
        <f>581.5-581.5</f>
        <v>0</v>
      </c>
      <c r="H19" s="27"/>
      <c r="I19" s="27"/>
      <c r="J19" s="23">
        <f t="shared" si="4"/>
        <v>0</v>
      </c>
      <c r="K19" s="27"/>
      <c r="L19" s="27"/>
      <c r="M19" s="27"/>
      <c r="N19" s="15"/>
    </row>
    <row r="20" spans="1:16" ht="33" x14ac:dyDescent="0.25">
      <c r="A20" s="9" t="s">
        <v>43</v>
      </c>
      <c r="B20" s="21" t="s">
        <v>44</v>
      </c>
      <c r="C20" s="22" t="s">
        <v>17</v>
      </c>
      <c r="D20" s="22" t="s">
        <v>17</v>
      </c>
      <c r="E20" s="22" t="s">
        <v>17</v>
      </c>
      <c r="F20" s="23">
        <f t="shared" si="3"/>
        <v>260096.7</v>
      </c>
      <c r="G20" s="23">
        <f>SUM(G22:G27)</f>
        <v>202796.79999999999</v>
      </c>
      <c r="H20" s="23">
        <f t="shared" ref="H20:I20" si="5">SUM(H22:H27)</f>
        <v>19758.099999999999</v>
      </c>
      <c r="I20" s="23">
        <f t="shared" si="5"/>
        <v>37541.800000000003</v>
      </c>
      <c r="J20" s="23">
        <f>SUM(K20:L20)+M20</f>
        <v>257381.7</v>
      </c>
      <c r="K20" s="23">
        <f>SUM(K22:K27)</f>
        <v>202289.6</v>
      </c>
      <c r="L20" s="23">
        <f>SUM(L22:L27)</f>
        <v>19752.2</v>
      </c>
      <c r="M20" s="23">
        <f>SUM(M22:M27)</f>
        <v>35339.9</v>
      </c>
      <c r="N20" s="15">
        <f t="shared" si="1"/>
        <v>0.99</v>
      </c>
    </row>
    <row r="21" spans="1:16" ht="17.25" x14ac:dyDescent="0.25">
      <c r="A21" s="11"/>
      <c r="B21" s="25" t="s">
        <v>20</v>
      </c>
      <c r="C21" s="26"/>
      <c r="D21" s="26"/>
      <c r="E21" s="26"/>
      <c r="F21" s="23"/>
      <c r="G21" s="27"/>
      <c r="H21" s="27"/>
      <c r="I21" s="27"/>
      <c r="J21" s="23"/>
      <c r="K21" s="27"/>
      <c r="L21" s="27"/>
      <c r="M21" s="27"/>
      <c r="N21" s="15"/>
    </row>
    <row r="22" spans="1:16" ht="99" x14ac:dyDescent="0.25">
      <c r="A22" s="11" t="s">
        <v>35</v>
      </c>
      <c r="B22" s="28" t="s">
        <v>45</v>
      </c>
      <c r="C22" s="26">
        <v>813</v>
      </c>
      <c r="D22" s="29" t="s">
        <v>46</v>
      </c>
      <c r="E22" s="26" t="s">
        <v>47</v>
      </c>
      <c r="F22" s="23">
        <f t="shared" ref="F22:F32" si="6">G22+H22+I22</f>
        <v>20999.1</v>
      </c>
      <c r="G22" s="27">
        <v>611.1</v>
      </c>
      <c r="H22" s="27">
        <v>19758.099999999999</v>
      </c>
      <c r="I22" s="27">
        <v>629.9</v>
      </c>
      <c r="J22" s="23">
        <f t="shared" ref="J22:J28" si="7">SUM(K22:L22)+M22</f>
        <v>20992.9</v>
      </c>
      <c r="K22" s="27">
        <v>610.9</v>
      </c>
      <c r="L22" s="27">
        <v>19752.2</v>
      </c>
      <c r="M22" s="27">
        <v>629.79999999999995</v>
      </c>
      <c r="N22" s="15">
        <f t="shared" si="1"/>
        <v>1</v>
      </c>
      <c r="O22" s="73"/>
      <c r="P22" s="5"/>
    </row>
    <row r="23" spans="1:16" ht="66" x14ac:dyDescent="0.25">
      <c r="A23" s="11"/>
      <c r="B23" s="28" t="s">
        <v>48</v>
      </c>
      <c r="C23" s="26">
        <v>821</v>
      </c>
      <c r="D23" s="29" t="s">
        <v>37</v>
      </c>
      <c r="E23" s="26" t="s">
        <v>49</v>
      </c>
      <c r="F23" s="23">
        <f t="shared" si="6"/>
        <v>31709.8</v>
      </c>
      <c r="G23" s="27">
        <f>25122.7-1758.47</f>
        <v>23364.2</v>
      </c>
      <c r="H23" s="27"/>
      <c r="I23" s="27">
        <v>8345.6</v>
      </c>
      <c r="J23" s="23">
        <f t="shared" si="7"/>
        <v>29833.3</v>
      </c>
      <c r="K23" s="27">
        <v>23347.599999999999</v>
      </c>
      <c r="L23" s="27"/>
      <c r="M23" s="27">
        <v>6485.7</v>
      </c>
      <c r="N23" s="15">
        <f t="shared" si="1"/>
        <v>0.94099999999999995</v>
      </c>
      <c r="P23" s="5"/>
    </row>
    <row r="24" spans="1:16" ht="66" x14ac:dyDescent="0.25">
      <c r="A24" s="11"/>
      <c r="B24" s="28" t="s">
        <v>50</v>
      </c>
      <c r="C24" s="26">
        <v>821</v>
      </c>
      <c r="D24" s="29" t="s">
        <v>37</v>
      </c>
      <c r="E24" s="26" t="s">
        <v>51</v>
      </c>
      <c r="F24" s="23">
        <f t="shared" si="6"/>
        <v>91657.3</v>
      </c>
      <c r="G24" s="27">
        <f>79000-1370.93</f>
        <v>77629.100000000006</v>
      </c>
      <c r="H24" s="27"/>
      <c r="I24" s="27">
        <v>14028.2</v>
      </c>
      <c r="J24" s="23">
        <f t="shared" si="7"/>
        <v>90864.1</v>
      </c>
      <c r="K24" s="27">
        <f>57138.7+20000</f>
        <v>77138.7</v>
      </c>
      <c r="L24" s="27"/>
      <c r="M24" s="27">
        <v>13725.4</v>
      </c>
      <c r="N24" s="15">
        <f t="shared" si="1"/>
        <v>0.99099999999999999</v>
      </c>
      <c r="P24" s="5"/>
    </row>
    <row r="25" spans="1:16" ht="165" x14ac:dyDescent="0.25">
      <c r="A25" s="11"/>
      <c r="B25" s="28" t="s">
        <v>52</v>
      </c>
      <c r="C25" s="26">
        <v>813</v>
      </c>
      <c r="D25" s="29" t="s">
        <v>46</v>
      </c>
      <c r="E25" s="26" t="s">
        <v>53</v>
      </c>
      <c r="F25" s="23">
        <f t="shared" si="6"/>
        <v>10074.700000000001</v>
      </c>
      <c r="G25" s="27">
        <v>9000</v>
      </c>
      <c r="H25" s="27"/>
      <c r="I25" s="27">
        <v>1074.7</v>
      </c>
      <c r="J25" s="23">
        <f t="shared" si="7"/>
        <v>10073.299999999999</v>
      </c>
      <c r="K25" s="27">
        <v>9000</v>
      </c>
      <c r="L25" s="27"/>
      <c r="M25" s="27">
        <v>1073.3</v>
      </c>
      <c r="N25" s="15">
        <f t="shared" si="1"/>
        <v>1</v>
      </c>
      <c r="P25" s="5"/>
    </row>
    <row r="26" spans="1:16" ht="99" x14ac:dyDescent="0.25">
      <c r="A26" s="11"/>
      <c r="B26" s="28" t="s">
        <v>54</v>
      </c>
      <c r="C26" s="26">
        <v>813</v>
      </c>
      <c r="D26" s="29" t="s">
        <v>46</v>
      </c>
      <c r="E26" s="26" t="s">
        <v>55</v>
      </c>
      <c r="F26" s="23">
        <f t="shared" si="6"/>
        <v>31479.3</v>
      </c>
      <c r="G26" s="27">
        <v>30000</v>
      </c>
      <c r="H26" s="27"/>
      <c r="I26" s="27">
        <v>1479.3</v>
      </c>
      <c r="J26" s="23">
        <f t="shared" si="7"/>
        <v>31479.3</v>
      </c>
      <c r="K26" s="27">
        <f>28094.6+1905.4</f>
        <v>30000</v>
      </c>
      <c r="L26" s="27"/>
      <c r="M26" s="27">
        <v>1479.3</v>
      </c>
      <c r="N26" s="15">
        <f t="shared" si="1"/>
        <v>1</v>
      </c>
      <c r="P26" s="5"/>
    </row>
    <row r="27" spans="1:16" ht="99" x14ac:dyDescent="0.25">
      <c r="A27" s="11"/>
      <c r="B27" s="28" t="s">
        <v>56</v>
      </c>
      <c r="C27" s="26">
        <v>813</v>
      </c>
      <c r="D27" s="29" t="s">
        <v>46</v>
      </c>
      <c r="E27" s="26" t="s">
        <v>57</v>
      </c>
      <c r="F27" s="23">
        <f t="shared" si="6"/>
        <v>74176.5</v>
      </c>
      <c r="G27" s="27">
        <v>62192.4</v>
      </c>
      <c r="H27" s="27"/>
      <c r="I27" s="27">
        <v>11984.1</v>
      </c>
      <c r="J27" s="23">
        <f t="shared" si="7"/>
        <v>74138.8</v>
      </c>
      <c r="K27" s="27">
        <f>53030.8+4303.3+3463.7+1235.3+2.8+51.1+105.4</f>
        <v>62192.4</v>
      </c>
      <c r="L27" s="27"/>
      <c r="M27" s="27">
        <v>11946.4</v>
      </c>
      <c r="N27" s="15">
        <f t="shared" si="1"/>
        <v>0.999</v>
      </c>
      <c r="P27" s="5"/>
    </row>
    <row r="28" spans="1:16" ht="66" x14ac:dyDescent="0.25">
      <c r="A28" s="9" t="s">
        <v>58</v>
      </c>
      <c r="B28" s="21" t="s">
        <v>59</v>
      </c>
      <c r="C28" s="22" t="s">
        <v>17</v>
      </c>
      <c r="D28" s="22" t="s">
        <v>17</v>
      </c>
      <c r="E28" s="22" t="s">
        <v>17</v>
      </c>
      <c r="F28" s="23">
        <f t="shared" si="6"/>
        <v>1236337.1000000001</v>
      </c>
      <c r="G28" s="23">
        <f>SUM(G30:G32)</f>
        <v>582187.30000000005</v>
      </c>
      <c r="H28" s="23">
        <f>SUM(H30:H32)</f>
        <v>646684.69999999995</v>
      </c>
      <c r="I28" s="23">
        <f>SUM(I30:I32)</f>
        <v>7465.1</v>
      </c>
      <c r="J28" s="23">
        <f t="shared" si="7"/>
        <v>947426</v>
      </c>
      <c r="K28" s="23">
        <f>SUM(K30:K32)</f>
        <v>482332.7</v>
      </c>
      <c r="L28" s="23">
        <f>SUM(L30:L32)</f>
        <v>457917.5</v>
      </c>
      <c r="M28" s="23">
        <f>SUM(M30:M32)</f>
        <v>7175.8</v>
      </c>
      <c r="N28" s="15">
        <f t="shared" si="1"/>
        <v>0.76600000000000001</v>
      </c>
    </row>
    <row r="29" spans="1:16" ht="17.25" x14ac:dyDescent="0.25">
      <c r="A29" s="9"/>
      <c r="B29" s="25" t="s">
        <v>20</v>
      </c>
      <c r="C29" s="26"/>
      <c r="D29" s="26"/>
      <c r="E29" s="26"/>
      <c r="F29" s="23"/>
      <c r="G29" s="27"/>
      <c r="H29" s="27"/>
      <c r="I29" s="27"/>
      <c r="J29" s="23"/>
      <c r="K29" s="27"/>
      <c r="L29" s="27"/>
      <c r="M29" s="27"/>
      <c r="N29" s="15"/>
    </row>
    <row r="30" spans="1:16" ht="99" x14ac:dyDescent="0.25">
      <c r="A30" s="9" t="s">
        <v>21</v>
      </c>
      <c r="B30" s="28" t="s">
        <v>60</v>
      </c>
      <c r="C30" s="26">
        <v>821</v>
      </c>
      <c r="D30" s="29" t="s">
        <v>37</v>
      </c>
      <c r="E30" s="26" t="s">
        <v>61</v>
      </c>
      <c r="F30" s="23">
        <f t="shared" si="6"/>
        <v>405122.9</v>
      </c>
      <c r="G30" s="27">
        <f>247570.3-8390.1</f>
        <v>239180.2</v>
      </c>
      <c r="H30" s="27">
        <v>165537.60000000001</v>
      </c>
      <c r="I30" s="27">
        <v>405.1</v>
      </c>
      <c r="J30" s="23">
        <f t="shared" ref="J30:J32" si="8">K30+L30+M30</f>
        <v>405122.9</v>
      </c>
      <c r="K30" s="27">
        <f>56246.7+182933.5</f>
        <v>239180.2</v>
      </c>
      <c r="L30" s="27">
        <f>49661.3+115876.3</f>
        <v>165537.60000000001</v>
      </c>
      <c r="M30" s="27">
        <v>405.1</v>
      </c>
      <c r="N30" s="15">
        <f t="shared" si="1"/>
        <v>1</v>
      </c>
    </row>
    <row r="31" spans="1:16" ht="99" x14ac:dyDescent="0.25">
      <c r="A31" s="9" t="s">
        <v>35</v>
      </c>
      <c r="B31" s="28" t="s">
        <v>62</v>
      </c>
      <c r="C31" s="26">
        <v>821</v>
      </c>
      <c r="D31" s="29" t="s">
        <v>37</v>
      </c>
      <c r="E31" s="26" t="s">
        <v>63</v>
      </c>
      <c r="F31" s="23">
        <f t="shared" si="6"/>
        <v>816571.7</v>
      </c>
      <c r="G31" s="27">
        <f>325217+9400</f>
        <v>334617</v>
      </c>
      <c r="H31" s="27">
        <v>481147.1</v>
      </c>
      <c r="I31" s="27">
        <v>807.6</v>
      </c>
      <c r="J31" s="23">
        <f t="shared" si="8"/>
        <v>527660.6</v>
      </c>
      <c r="K31" s="27">
        <v>234762.4</v>
      </c>
      <c r="L31" s="27">
        <v>292379.90000000002</v>
      </c>
      <c r="M31" s="27">
        <v>518.29999999999995</v>
      </c>
      <c r="N31" s="15">
        <f t="shared" si="1"/>
        <v>0.64600000000000002</v>
      </c>
    </row>
    <row r="32" spans="1:16" ht="73.900000000000006" customHeight="1" x14ac:dyDescent="0.25">
      <c r="A32" s="9"/>
      <c r="B32" s="28" t="s">
        <v>64</v>
      </c>
      <c r="C32" s="26">
        <v>815</v>
      </c>
      <c r="D32" s="29" t="s">
        <v>65</v>
      </c>
      <c r="E32" s="26" t="s">
        <v>66</v>
      </c>
      <c r="F32" s="23">
        <f t="shared" si="6"/>
        <v>14642.5</v>
      </c>
      <c r="G32" s="27">
        <v>8390.1</v>
      </c>
      <c r="H32" s="27"/>
      <c r="I32" s="27">
        <v>6252.4</v>
      </c>
      <c r="J32" s="23">
        <f t="shared" si="8"/>
        <v>14642.5</v>
      </c>
      <c r="K32" s="27">
        <v>8390.1</v>
      </c>
      <c r="L32" s="27"/>
      <c r="M32" s="27">
        <v>6252.4</v>
      </c>
      <c r="N32" s="15">
        <f t="shared" si="1"/>
        <v>1</v>
      </c>
    </row>
    <row r="33" spans="1:17" ht="49.5" x14ac:dyDescent="0.25">
      <c r="A33" s="9" t="s">
        <v>67</v>
      </c>
      <c r="B33" s="21" t="s">
        <v>68</v>
      </c>
      <c r="C33" s="22" t="s">
        <v>17</v>
      </c>
      <c r="D33" s="22" t="s">
        <v>17</v>
      </c>
      <c r="E33" s="22" t="s">
        <v>17</v>
      </c>
      <c r="F33" s="23">
        <f>SUM(G33:H33)</f>
        <v>1192179</v>
      </c>
      <c r="G33" s="23">
        <f>SUM(G35:G36)</f>
        <v>759716.3</v>
      </c>
      <c r="H33" s="23">
        <f>SUM(H35:H36)</f>
        <v>432462.7</v>
      </c>
      <c r="I33" s="23">
        <f>SUM(I35:I36)</f>
        <v>0</v>
      </c>
      <c r="J33" s="23">
        <f>SUM(K33:L33)</f>
        <v>1184114.8999999999</v>
      </c>
      <c r="K33" s="23">
        <f>SUM(K35:K36)</f>
        <v>759090.4</v>
      </c>
      <c r="L33" s="23">
        <f>SUM(L35:L36)</f>
        <v>425024.5</v>
      </c>
      <c r="M33" s="23">
        <f>SUM(M35:M36)</f>
        <v>0</v>
      </c>
      <c r="N33" s="15">
        <f t="shared" si="1"/>
        <v>0.99299999999999999</v>
      </c>
      <c r="P33" s="5"/>
    </row>
    <row r="34" spans="1:17" ht="17.25" x14ac:dyDescent="0.25">
      <c r="A34" s="9"/>
      <c r="B34" s="25" t="s">
        <v>20</v>
      </c>
      <c r="C34" s="26"/>
      <c r="D34" s="29"/>
      <c r="E34" s="26"/>
      <c r="F34" s="23"/>
      <c r="G34" s="27"/>
      <c r="H34" s="27"/>
      <c r="I34" s="27"/>
      <c r="J34" s="23"/>
      <c r="K34" s="27"/>
      <c r="L34" s="27"/>
      <c r="M34" s="27"/>
      <c r="N34" s="15"/>
    </row>
    <row r="35" spans="1:17" ht="66" x14ac:dyDescent="0.25">
      <c r="A35" s="9" t="s">
        <v>69</v>
      </c>
      <c r="B35" s="28" t="s">
        <v>70</v>
      </c>
      <c r="C35" s="26">
        <v>809</v>
      </c>
      <c r="D35" s="29" t="s">
        <v>30</v>
      </c>
      <c r="E35" s="26" t="s">
        <v>71</v>
      </c>
      <c r="F35" s="23">
        <f t="shared" ref="F35:F36" si="9">G35+H35+I35</f>
        <v>432462.7</v>
      </c>
      <c r="G35" s="27"/>
      <c r="H35" s="27">
        <f>369453.96+63008.7</f>
        <v>432462.7</v>
      </c>
      <c r="I35" s="27"/>
      <c r="J35" s="23">
        <f t="shared" ref="J35:J36" si="10">SUM(K35:L35)</f>
        <v>425024.5</v>
      </c>
      <c r="K35" s="27"/>
      <c r="L35" s="27">
        <f>348933.4+15777.12+425.73+45.91+40550.27+5461.75+8394.42+3654.13+1781.76</f>
        <v>425024.5</v>
      </c>
      <c r="M35" s="27"/>
      <c r="N35" s="15">
        <f t="shared" si="1"/>
        <v>0.98299999999999998</v>
      </c>
      <c r="Q35" s="5"/>
    </row>
    <row r="36" spans="1:17" ht="82.5" x14ac:dyDescent="0.25">
      <c r="A36" s="9"/>
      <c r="B36" s="28" t="s">
        <v>72</v>
      </c>
      <c r="C36" s="26">
        <v>809</v>
      </c>
      <c r="D36" s="29" t="s">
        <v>30</v>
      </c>
      <c r="E36" s="26" t="s">
        <v>73</v>
      </c>
      <c r="F36" s="23">
        <f t="shared" si="9"/>
        <v>759716.3</v>
      </c>
      <c r="G36" s="27">
        <f>776166.8-20500+4049.5</f>
        <v>759716.3</v>
      </c>
      <c r="H36" s="27"/>
      <c r="I36" s="27"/>
      <c r="J36" s="23">
        <f t="shared" si="10"/>
        <v>759090.4</v>
      </c>
      <c r="K36" s="27">
        <v>759090.4</v>
      </c>
      <c r="L36" s="27"/>
      <c r="M36" s="27"/>
      <c r="N36" s="15">
        <f t="shared" si="1"/>
        <v>0.999</v>
      </c>
      <c r="Q36" s="5"/>
    </row>
    <row r="37" spans="1:17" ht="33" x14ac:dyDescent="0.25">
      <c r="A37" s="9" t="s">
        <v>74</v>
      </c>
      <c r="B37" s="21" t="s">
        <v>75</v>
      </c>
      <c r="C37" s="22" t="s">
        <v>17</v>
      </c>
      <c r="D37" s="22" t="s">
        <v>17</v>
      </c>
      <c r="E37" s="22" t="s">
        <v>17</v>
      </c>
      <c r="F37" s="23">
        <f>F39</f>
        <v>3700</v>
      </c>
      <c r="G37" s="23">
        <f>G39</f>
        <v>3700</v>
      </c>
      <c r="H37" s="23">
        <f t="shared" ref="H37:L37" si="11">H39</f>
        <v>0</v>
      </c>
      <c r="I37" s="23">
        <f t="shared" si="11"/>
        <v>0</v>
      </c>
      <c r="J37" s="23">
        <f>J39</f>
        <v>3700</v>
      </c>
      <c r="K37" s="23">
        <f t="shared" si="11"/>
        <v>3700</v>
      </c>
      <c r="L37" s="23">
        <f t="shared" si="11"/>
        <v>0</v>
      </c>
      <c r="M37" s="23">
        <f>M39</f>
        <v>0</v>
      </c>
      <c r="N37" s="15">
        <f t="shared" si="1"/>
        <v>1</v>
      </c>
    </row>
    <row r="38" spans="1:17" ht="17.25" x14ac:dyDescent="0.25">
      <c r="A38" s="9"/>
      <c r="B38" s="28" t="s">
        <v>20</v>
      </c>
      <c r="C38" s="26"/>
      <c r="D38" s="29"/>
      <c r="E38" s="26"/>
      <c r="F38" s="23"/>
      <c r="G38" s="27"/>
      <c r="H38" s="27"/>
      <c r="I38" s="27"/>
      <c r="J38" s="23"/>
      <c r="K38" s="27"/>
      <c r="L38" s="27"/>
      <c r="M38" s="27"/>
      <c r="N38" s="15"/>
    </row>
    <row r="39" spans="1:17" ht="99" x14ac:dyDescent="0.25">
      <c r="A39" s="9"/>
      <c r="B39" s="28" t="s">
        <v>76</v>
      </c>
      <c r="C39" s="26">
        <v>811</v>
      </c>
      <c r="D39" s="29" t="s">
        <v>33</v>
      </c>
      <c r="E39" s="26" t="s">
        <v>77</v>
      </c>
      <c r="F39" s="23">
        <f>G39</f>
        <v>3700</v>
      </c>
      <c r="G39" s="27">
        <v>3700</v>
      </c>
      <c r="H39" s="27"/>
      <c r="I39" s="27"/>
      <c r="J39" s="23">
        <f>K39</f>
        <v>3700</v>
      </c>
      <c r="K39" s="27">
        <f>3519.6+180.38</f>
        <v>3700</v>
      </c>
      <c r="L39" s="27"/>
      <c r="M39" s="27"/>
      <c r="N39" s="15">
        <f t="shared" si="1"/>
        <v>1</v>
      </c>
    </row>
    <row r="40" spans="1:17" ht="17.25" x14ac:dyDescent="0.25">
      <c r="A40" s="35" t="s">
        <v>78</v>
      </c>
      <c r="B40" s="36" t="s">
        <v>79</v>
      </c>
      <c r="C40" s="37" t="s">
        <v>17</v>
      </c>
      <c r="D40" s="37" t="s">
        <v>17</v>
      </c>
      <c r="E40" s="37" t="s">
        <v>17</v>
      </c>
      <c r="F40" s="38">
        <f t="shared" ref="F40:M40" si="12">F41+F48+F52+F56+F60</f>
        <v>1216123.5</v>
      </c>
      <c r="G40" s="38">
        <f t="shared" si="12"/>
        <v>266674</v>
      </c>
      <c r="H40" s="38">
        <f t="shared" si="12"/>
        <v>949449.5</v>
      </c>
      <c r="I40" s="38">
        <f t="shared" si="12"/>
        <v>0</v>
      </c>
      <c r="J40" s="38">
        <f t="shared" si="12"/>
        <v>1090774</v>
      </c>
      <c r="K40" s="38">
        <f t="shared" si="12"/>
        <v>245338.9</v>
      </c>
      <c r="L40" s="38">
        <f t="shared" si="12"/>
        <v>845435.1</v>
      </c>
      <c r="M40" s="38">
        <f t="shared" si="12"/>
        <v>0</v>
      </c>
      <c r="N40" s="20">
        <f t="shared" si="1"/>
        <v>0.89700000000000002</v>
      </c>
      <c r="P40" s="5"/>
    </row>
    <row r="41" spans="1:17" ht="49.5" x14ac:dyDescent="0.25">
      <c r="A41" s="9" t="s">
        <v>80</v>
      </c>
      <c r="B41" s="21" t="s">
        <v>81</v>
      </c>
      <c r="C41" s="22" t="s">
        <v>17</v>
      </c>
      <c r="D41" s="22" t="s">
        <v>17</v>
      </c>
      <c r="E41" s="22" t="s">
        <v>17</v>
      </c>
      <c r="F41" s="23">
        <f>SUM(G41:H41)</f>
        <v>282225.8</v>
      </c>
      <c r="G41" s="23">
        <f>SUM(G43:G47)</f>
        <v>135045</v>
      </c>
      <c r="H41" s="23">
        <f>SUM(H43:H47)</f>
        <v>147180.79999999999</v>
      </c>
      <c r="I41" s="23">
        <f>SUM(I43:I47)</f>
        <v>0</v>
      </c>
      <c r="J41" s="23">
        <f>SUM(K41:L41)</f>
        <v>281248.40000000002</v>
      </c>
      <c r="K41" s="23">
        <f>SUM(K43:K47)</f>
        <v>135045</v>
      </c>
      <c r="L41" s="23">
        <f>SUM(L43:L47)</f>
        <v>146203.4</v>
      </c>
      <c r="M41" s="23">
        <f>SUM(M42:M47)</f>
        <v>0</v>
      </c>
      <c r="N41" s="15">
        <f t="shared" si="1"/>
        <v>0.997</v>
      </c>
    </row>
    <row r="42" spans="1:17" ht="17.25" x14ac:dyDescent="0.25">
      <c r="A42" s="11"/>
      <c r="B42" s="25" t="s">
        <v>20</v>
      </c>
      <c r="C42" s="26"/>
      <c r="D42" s="26"/>
      <c r="E42" s="26"/>
      <c r="F42" s="23"/>
      <c r="G42" s="27"/>
      <c r="H42" s="27"/>
      <c r="I42" s="27"/>
      <c r="J42" s="23"/>
      <c r="K42" s="27"/>
      <c r="L42" s="27"/>
      <c r="M42" s="27"/>
      <c r="N42" s="15"/>
    </row>
    <row r="43" spans="1:17" ht="82.5" x14ac:dyDescent="0.25">
      <c r="A43" s="11" t="s">
        <v>21</v>
      </c>
      <c r="B43" s="28" t="s">
        <v>82</v>
      </c>
      <c r="C43" s="26">
        <v>811</v>
      </c>
      <c r="D43" s="29" t="s">
        <v>33</v>
      </c>
      <c r="E43" s="26" t="s">
        <v>83</v>
      </c>
      <c r="F43" s="23">
        <f t="shared" ref="F43:F59" si="13">SUM(G43:H43)</f>
        <v>21521</v>
      </c>
      <c r="G43" s="27"/>
      <c r="H43" s="27">
        <v>21521</v>
      </c>
      <c r="I43" s="27"/>
      <c r="J43" s="23">
        <f t="shared" ref="J43:J47" si="14">SUM(K43:L43)</f>
        <v>20543.599999999999</v>
      </c>
      <c r="K43" s="27"/>
      <c r="L43" s="27">
        <f>17516.1+1715.34+567.66+744.52</f>
        <v>20543.599999999999</v>
      </c>
      <c r="M43" s="27"/>
      <c r="N43" s="15">
        <f t="shared" si="1"/>
        <v>0.95499999999999996</v>
      </c>
    </row>
    <row r="44" spans="1:17" ht="66" x14ac:dyDescent="0.25">
      <c r="A44" s="11" t="s">
        <v>35</v>
      </c>
      <c r="B44" s="28" t="s">
        <v>84</v>
      </c>
      <c r="C44" s="26">
        <v>811</v>
      </c>
      <c r="D44" s="29" t="s">
        <v>33</v>
      </c>
      <c r="E44" s="26" t="s">
        <v>85</v>
      </c>
      <c r="F44" s="23">
        <f t="shared" si="13"/>
        <v>150000</v>
      </c>
      <c r="G44" s="27">
        <v>24340.2</v>
      </c>
      <c r="H44" s="27">
        <v>125659.8</v>
      </c>
      <c r="I44" s="27"/>
      <c r="J44" s="23">
        <f t="shared" si="14"/>
        <v>150000</v>
      </c>
      <c r="K44" s="27">
        <f>17286.95+3786.25+3267</f>
        <v>24340.2</v>
      </c>
      <c r="L44" s="27">
        <f>89246.38+19547.08+16866.34</f>
        <v>125659.8</v>
      </c>
      <c r="M44" s="27"/>
      <c r="N44" s="15">
        <f t="shared" si="1"/>
        <v>1</v>
      </c>
    </row>
    <row r="45" spans="1:17" ht="49.5" x14ac:dyDescent="0.25">
      <c r="A45" s="11"/>
      <c r="B45" s="28" t="s">
        <v>86</v>
      </c>
      <c r="C45" s="26">
        <v>811</v>
      </c>
      <c r="D45" s="29" t="s">
        <v>33</v>
      </c>
      <c r="E45" s="26" t="s">
        <v>87</v>
      </c>
      <c r="F45" s="23">
        <f t="shared" si="13"/>
        <v>6000</v>
      </c>
      <c r="G45" s="27">
        <v>6000</v>
      </c>
      <c r="H45" s="27"/>
      <c r="I45" s="27"/>
      <c r="J45" s="23">
        <f t="shared" si="14"/>
        <v>6000</v>
      </c>
      <c r="K45" s="27">
        <v>6000</v>
      </c>
      <c r="L45" s="27"/>
      <c r="M45" s="27"/>
      <c r="N45" s="15">
        <f t="shared" si="1"/>
        <v>1</v>
      </c>
    </row>
    <row r="46" spans="1:17" ht="49.5" x14ac:dyDescent="0.25">
      <c r="A46" s="11"/>
      <c r="B46" s="28" t="s">
        <v>88</v>
      </c>
      <c r="C46" s="26">
        <v>811</v>
      </c>
      <c r="D46" s="29" t="s">
        <v>33</v>
      </c>
      <c r="E46" s="26" t="s">
        <v>89</v>
      </c>
      <c r="F46" s="23">
        <f t="shared" si="13"/>
        <v>102804.8</v>
      </c>
      <c r="G46" s="27">
        <f>52059.8+50745</f>
        <v>102804.8</v>
      </c>
      <c r="H46" s="27"/>
      <c r="I46" s="27"/>
      <c r="J46" s="23">
        <f t="shared" si="14"/>
        <v>102804.8</v>
      </c>
      <c r="K46" s="27">
        <f>52059.8+50745</f>
        <v>102804.8</v>
      </c>
      <c r="L46" s="27"/>
      <c r="M46" s="27"/>
      <c r="N46" s="15">
        <f t="shared" si="1"/>
        <v>1</v>
      </c>
    </row>
    <row r="47" spans="1:17" ht="82.5" x14ac:dyDescent="0.25">
      <c r="A47" s="11"/>
      <c r="B47" s="28" t="s">
        <v>90</v>
      </c>
      <c r="C47" s="26">
        <v>811</v>
      </c>
      <c r="D47" s="29" t="s">
        <v>33</v>
      </c>
      <c r="E47" s="26" t="s">
        <v>91</v>
      </c>
      <c r="F47" s="23">
        <f t="shared" si="13"/>
        <v>1900</v>
      </c>
      <c r="G47" s="27">
        <v>1900</v>
      </c>
      <c r="H47" s="27"/>
      <c r="I47" s="27"/>
      <c r="J47" s="23">
        <f t="shared" si="14"/>
        <v>1900</v>
      </c>
      <c r="K47" s="27">
        <f>1520+380</f>
        <v>1900</v>
      </c>
      <c r="L47" s="27"/>
      <c r="M47" s="27"/>
      <c r="N47" s="15">
        <f t="shared" si="1"/>
        <v>1</v>
      </c>
    </row>
    <row r="48" spans="1:17" ht="49.5" x14ac:dyDescent="0.25">
      <c r="A48" s="9" t="s">
        <v>92</v>
      </c>
      <c r="B48" s="21" t="s">
        <v>93</v>
      </c>
      <c r="C48" s="22" t="s">
        <v>17</v>
      </c>
      <c r="D48" s="22" t="s">
        <v>17</v>
      </c>
      <c r="E48" s="22" t="s">
        <v>17</v>
      </c>
      <c r="F48" s="23">
        <f t="shared" si="13"/>
        <v>80052.5</v>
      </c>
      <c r="G48" s="23">
        <f>SUM(G50:G51)</f>
        <v>5500</v>
      </c>
      <c r="H48" s="23">
        <f t="shared" ref="H48:J52" si="15">SUM(H50:H51)</f>
        <v>74552.5</v>
      </c>
      <c r="I48" s="23">
        <f t="shared" si="15"/>
        <v>0</v>
      </c>
      <c r="J48" s="23">
        <f t="shared" si="15"/>
        <v>80039.100000000006</v>
      </c>
      <c r="K48" s="23">
        <f>SUM(K50:K51)</f>
        <v>5500</v>
      </c>
      <c r="L48" s="23">
        <f>SUM(L50:L51)</f>
        <v>74539.100000000006</v>
      </c>
      <c r="M48" s="23">
        <f>SUM(M50:M51)</f>
        <v>0</v>
      </c>
      <c r="N48" s="15">
        <f t="shared" si="1"/>
        <v>1</v>
      </c>
      <c r="P48" s="5"/>
    </row>
    <row r="49" spans="1:16" ht="17.25" x14ac:dyDescent="0.25">
      <c r="A49" s="11"/>
      <c r="B49" s="25" t="s">
        <v>20</v>
      </c>
      <c r="C49" s="26"/>
      <c r="D49" s="26"/>
      <c r="E49" s="26"/>
      <c r="F49" s="23"/>
      <c r="G49" s="27"/>
      <c r="H49" s="27"/>
      <c r="I49" s="27"/>
      <c r="J49" s="23"/>
      <c r="K49" s="27"/>
      <c r="L49" s="27"/>
      <c r="M49" s="27"/>
      <c r="N49" s="15"/>
    </row>
    <row r="50" spans="1:16" s="39" customFormat="1" ht="49.5" x14ac:dyDescent="0.25">
      <c r="A50" s="40" t="s">
        <v>21</v>
      </c>
      <c r="B50" s="41" t="s">
        <v>94</v>
      </c>
      <c r="C50" s="42">
        <v>811</v>
      </c>
      <c r="D50" s="43" t="s">
        <v>33</v>
      </c>
      <c r="E50" s="42" t="s">
        <v>95</v>
      </c>
      <c r="F50" s="44">
        <f t="shared" si="13"/>
        <v>74552.5</v>
      </c>
      <c r="G50" s="45"/>
      <c r="H50" s="45">
        <v>74552.5</v>
      </c>
      <c r="I50" s="45"/>
      <c r="J50" s="44">
        <f t="shared" ref="J50:J51" si="16">SUM(K50:L50)</f>
        <v>74539.100000000006</v>
      </c>
      <c r="K50" s="45"/>
      <c r="L50" s="45">
        <v>74539.100000000006</v>
      </c>
      <c r="M50" s="45"/>
      <c r="N50" s="15">
        <f t="shared" si="1"/>
        <v>1</v>
      </c>
    </row>
    <row r="51" spans="1:16" s="39" customFormat="1" ht="66" x14ac:dyDescent="0.25">
      <c r="A51" s="40"/>
      <c r="B51" s="41" t="s">
        <v>96</v>
      </c>
      <c r="C51" s="42">
        <v>811</v>
      </c>
      <c r="D51" s="43" t="s">
        <v>33</v>
      </c>
      <c r="E51" s="42" t="s">
        <v>97</v>
      </c>
      <c r="F51" s="23">
        <f t="shared" si="13"/>
        <v>5500</v>
      </c>
      <c r="G51" s="45">
        <v>5500</v>
      </c>
      <c r="H51" s="45"/>
      <c r="I51" s="45"/>
      <c r="J51" s="44">
        <f t="shared" si="16"/>
        <v>5500</v>
      </c>
      <c r="K51" s="45">
        <f>4686.5+813.52</f>
        <v>5500</v>
      </c>
      <c r="L51" s="45"/>
      <c r="M51" s="45"/>
      <c r="N51" s="15">
        <f t="shared" si="1"/>
        <v>1</v>
      </c>
    </row>
    <row r="52" spans="1:16" ht="105" customHeight="1" x14ac:dyDescent="0.25">
      <c r="A52" s="9" t="s">
        <v>98</v>
      </c>
      <c r="B52" s="21" t="s">
        <v>99</v>
      </c>
      <c r="C52" s="22" t="s">
        <v>17</v>
      </c>
      <c r="D52" s="22" t="s">
        <v>17</v>
      </c>
      <c r="E52" s="22" t="s">
        <v>17</v>
      </c>
      <c r="F52" s="23">
        <f t="shared" si="13"/>
        <v>106204.4</v>
      </c>
      <c r="G52" s="23">
        <f>SUM(G54:G55)</f>
        <v>20129.8</v>
      </c>
      <c r="H52" s="23">
        <f t="shared" si="15"/>
        <v>86074.6</v>
      </c>
      <c r="I52" s="23">
        <f t="shared" si="15"/>
        <v>0</v>
      </c>
      <c r="J52" s="23">
        <f t="shared" si="15"/>
        <v>106194</v>
      </c>
      <c r="K52" s="23">
        <f>SUM(K54:K55)</f>
        <v>20128</v>
      </c>
      <c r="L52" s="23">
        <f>SUM(L54:L55)</f>
        <v>86066</v>
      </c>
      <c r="M52" s="23">
        <f>SUM(M54:M55)</f>
        <v>0</v>
      </c>
      <c r="N52" s="15">
        <f t="shared" si="1"/>
        <v>1</v>
      </c>
    </row>
    <row r="53" spans="1:16" ht="17.25" x14ac:dyDescent="0.25">
      <c r="A53" s="11"/>
      <c r="B53" s="25" t="s">
        <v>20</v>
      </c>
      <c r="C53" s="26"/>
      <c r="D53" s="26"/>
      <c r="E53" s="26"/>
      <c r="F53" s="23"/>
      <c r="G53" s="27"/>
      <c r="H53" s="27"/>
      <c r="I53" s="27"/>
      <c r="J53" s="23"/>
      <c r="K53" s="27"/>
      <c r="L53" s="27"/>
      <c r="M53" s="27"/>
      <c r="N53" s="15"/>
    </row>
    <row r="54" spans="1:16" ht="82.5" x14ac:dyDescent="0.25">
      <c r="A54" s="11" t="s">
        <v>35</v>
      </c>
      <c r="B54" s="28" t="s">
        <v>100</v>
      </c>
      <c r="C54" s="26">
        <v>811</v>
      </c>
      <c r="D54" s="29" t="s">
        <v>33</v>
      </c>
      <c r="E54" s="26" t="s">
        <v>101</v>
      </c>
      <c r="F54" s="23">
        <f t="shared" si="13"/>
        <v>103704.4</v>
      </c>
      <c r="G54" s="27">
        <f>17629.8+102.1873-102.1873</f>
        <v>17629.8</v>
      </c>
      <c r="H54" s="27">
        <f>86074.6+498.9127-498.9127</f>
        <v>86074.6</v>
      </c>
      <c r="I54" s="27"/>
      <c r="J54" s="23">
        <f t="shared" ref="J54:J55" si="17">SUM(K54:L54)</f>
        <v>103694</v>
      </c>
      <c r="K54" s="27">
        <f>6755.8+463.53+3032.45+7376.26</f>
        <v>17628</v>
      </c>
      <c r="L54" s="27">
        <f>32984.1+2263.12+14805.42+36013.36</f>
        <v>86066</v>
      </c>
      <c r="M54" s="27"/>
      <c r="N54" s="15">
        <f t="shared" si="1"/>
        <v>1</v>
      </c>
    </row>
    <row r="55" spans="1:16" ht="49.5" x14ac:dyDescent="0.25">
      <c r="A55" s="11"/>
      <c r="B55" s="28" t="s">
        <v>102</v>
      </c>
      <c r="C55" s="26">
        <v>811</v>
      </c>
      <c r="D55" s="29" t="s">
        <v>33</v>
      </c>
      <c r="E55" s="26" t="s">
        <v>103</v>
      </c>
      <c r="F55" s="23">
        <f t="shared" si="13"/>
        <v>2500</v>
      </c>
      <c r="G55" s="27">
        <v>2500</v>
      </c>
      <c r="H55" s="27"/>
      <c r="I55" s="27"/>
      <c r="J55" s="23">
        <f t="shared" si="17"/>
        <v>2500</v>
      </c>
      <c r="K55" s="27">
        <f>2149.42+350.58</f>
        <v>2500</v>
      </c>
      <c r="L55" s="27"/>
      <c r="M55" s="27"/>
      <c r="N55" s="15">
        <f t="shared" si="1"/>
        <v>1</v>
      </c>
    </row>
    <row r="56" spans="1:16" ht="99" x14ac:dyDescent="0.25">
      <c r="A56" s="9" t="s">
        <v>104</v>
      </c>
      <c r="B56" s="21" t="s">
        <v>105</v>
      </c>
      <c r="C56" s="22" t="s">
        <v>17</v>
      </c>
      <c r="D56" s="22" t="s">
        <v>17</v>
      </c>
      <c r="E56" s="22" t="s">
        <v>17</v>
      </c>
      <c r="F56" s="23">
        <f t="shared" si="13"/>
        <v>138662</v>
      </c>
      <c r="G56" s="23">
        <f>SUM(G58:G59)</f>
        <v>26290</v>
      </c>
      <c r="H56" s="23">
        <f t="shared" ref="H56:K56" si="18">SUM(H58:H59)</f>
        <v>112372</v>
      </c>
      <c r="I56" s="23">
        <f t="shared" si="18"/>
        <v>0</v>
      </c>
      <c r="J56" s="23">
        <f t="shared" si="18"/>
        <v>137438.79999999999</v>
      </c>
      <c r="K56" s="23">
        <f t="shared" si="18"/>
        <v>26122.799999999999</v>
      </c>
      <c r="L56" s="23">
        <f>SUM(L58:L59)</f>
        <v>111316</v>
      </c>
      <c r="M56" s="23">
        <f>SUM(M58:M59)</f>
        <v>0</v>
      </c>
      <c r="N56" s="15">
        <f t="shared" si="1"/>
        <v>0.99099999999999999</v>
      </c>
      <c r="P56" s="5"/>
    </row>
    <row r="57" spans="1:16" ht="17.25" x14ac:dyDescent="0.25">
      <c r="A57" s="11"/>
      <c r="B57" s="25" t="s">
        <v>20</v>
      </c>
      <c r="C57" s="26"/>
      <c r="D57" s="26"/>
      <c r="E57" s="26"/>
      <c r="F57" s="23"/>
      <c r="G57" s="27"/>
      <c r="H57" s="27"/>
      <c r="I57" s="27"/>
      <c r="J57" s="23"/>
      <c r="K57" s="27"/>
      <c r="L57" s="27"/>
      <c r="M57" s="27"/>
      <c r="N57" s="15"/>
    </row>
    <row r="58" spans="1:16" ht="82.5" x14ac:dyDescent="0.25">
      <c r="A58" s="11" t="s">
        <v>35</v>
      </c>
      <c r="B58" s="28" t="s">
        <v>106</v>
      </c>
      <c r="C58" s="26">
        <v>811</v>
      </c>
      <c r="D58" s="29" t="s">
        <v>33</v>
      </c>
      <c r="E58" s="26" t="s">
        <v>107</v>
      </c>
      <c r="F58" s="23">
        <f t="shared" si="13"/>
        <v>130162</v>
      </c>
      <c r="G58" s="27">
        <v>17790</v>
      </c>
      <c r="H58" s="27">
        <v>112372</v>
      </c>
      <c r="I58" s="27"/>
      <c r="J58" s="23">
        <f t="shared" ref="J58:J59" si="19">SUM(K58:L58)</f>
        <v>128938.8</v>
      </c>
      <c r="K58" s="27">
        <f>8081.4+7737.38+754.16+1049.89</f>
        <v>17622.8</v>
      </c>
      <c r="L58" s="27">
        <f>51046.8+48873.77+4763.68+6631.74</f>
        <v>111316</v>
      </c>
      <c r="M58" s="27"/>
      <c r="N58" s="15">
        <f t="shared" si="1"/>
        <v>0.99099999999999999</v>
      </c>
    </row>
    <row r="59" spans="1:16" ht="66" x14ac:dyDescent="0.25">
      <c r="A59" s="11"/>
      <c r="B59" s="28" t="s">
        <v>108</v>
      </c>
      <c r="C59" s="26">
        <v>811</v>
      </c>
      <c r="D59" s="29" t="s">
        <v>33</v>
      </c>
      <c r="E59" s="26" t="s">
        <v>109</v>
      </c>
      <c r="F59" s="23">
        <f t="shared" si="13"/>
        <v>8500</v>
      </c>
      <c r="G59" s="27">
        <v>8500</v>
      </c>
      <c r="H59" s="27"/>
      <c r="I59" s="27"/>
      <c r="J59" s="23">
        <f t="shared" si="19"/>
        <v>8500</v>
      </c>
      <c r="K59" s="27">
        <f>7000+1500</f>
        <v>8500</v>
      </c>
      <c r="L59" s="27"/>
      <c r="M59" s="27"/>
      <c r="N59" s="15">
        <f t="shared" si="1"/>
        <v>1</v>
      </c>
    </row>
    <row r="60" spans="1:16" ht="49.5" x14ac:dyDescent="0.25">
      <c r="A60" s="9" t="s">
        <v>110</v>
      </c>
      <c r="B60" s="21" t="s">
        <v>111</v>
      </c>
      <c r="C60" s="22" t="s">
        <v>17</v>
      </c>
      <c r="D60" s="22" t="s">
        <v>17</v>
      </c>
      <c r="E60" s="22" t="s">
        <v>17</v>
      </c>
      <c r="F60" s="23">
        <f t="shared" ref="F60:M60" si="20">SUM(F62:F63)</f>
        <v>608978.80000000005</v>
      </c>
      <c r="G60" s="23">
        <f t="shared" si="20"/>
        <v>79709.2</v>
      </c>
      <c r="H60" s="23">
        <f t="shared" si="20"/>
        <v>529269.6</v>
      </c>
      <c r="I60" s="23">
        <f t="shared" si="20"/>
        <v>0</v>
      </c>
      <c r="J60" s="23">
        <f t="shared" si="20"/>
        <v>485853.7</v>
      </c>
      <c r="K60" s="23">
        <f t="shared" si="20"/>
        <v>58543.1</v>
      </c>
      <c r="L60" s="23">
        <f t="shared" si="20"/>
        <v>427310.6</v>
      </c>
      <c r="M60" s="23">
        <f t="shared" si="20"/>
        <v>0</v>
      </c>
      <c r="N60" s="15">
        <f t="shared" si="1"/>
        <v>0.79800000000000004</v>
      </c>
      <c r="P60" s="5"/>
    </row>
    <row r="61" spans="1:16" ht="17.25" x14ac:dyDescent="0.25">
      <c r="A61" s="11"/>
      <c r="B61" s="25" t="s">
        <v>20</v>
      </c>
      <c r="C61" s="26"/>
      <c r="D61" s="26"/>
      <c r="E61" s="26"/>
      <c r="F61" s="23"/>
      <c r="G61" s="27"/>
      <c r="H61" s="27"/>
      <c r="I61" s="27"/>
      <c r="J61" s="23"/>
      <c r="K61" s="27"/>
      <c r="L61" s="27"/>
      <c r="M61" s="27"/>
      <c r="N61" s="15"/>
    </row>
    <row r="62" spans="1:16" ht="148.5" x14ac:dyDescent="0.25">
      <c r="A62" s="9" t="s">
        <v>21</v>
      </c>
      <c r="B62" s="28" t="s">
        <v>112</v>
      </c>
      <c r="C62" s="26">
        <v>811</v>
      </c>
      <c r="D62" s="29" t="s">
        <v>33</v>
      </c>
      <c r="E62" s="26" t="s">
        <v>113</v>
      </c>
      <c r="F62" s="23">
        <f>SUM(G62:H62)</f>
        <v>223067.6</v>
      </c>
      <c r="G62" s="27"/>
      <c r="H62" s="27">
        <v>223067.6</v>
      </c>
      <c r="I62" s="27"/>
      <c r="J62" s="23">
        <f>SUM(K62:L62)</f>
        <v>223066.4</v>
      </c>
      <c r="K62" s="27"/>
      <c r="L62" s="27">
        <f>169746.2+49995+1739.64+1585.6</f>
        <v>223066.4</v>
      </c>
      <c r="M62" s="27"/>
      <c r="N62" s="15">
        <f t="shared" si="1"/>
        <v>1</v>
      </c>
    </row>
    <row r="63" spans="1:16" ht="82.5" x14ac:dyDescent="0.25">
      <c r="A63" s="9" t="s">
        <v>35</v>
      </c>
      <c r="B63" s="28" t="s">
        <v>114</v>
      </c>
      <c r="C63" s="26">
        <v>821</v>
      </c>
      <c r="D63" s="29" t="s">
        <v>37</v>
      </c>
      <c r="E63" s="26" t="s">
        <v>115</v>
      </c>
      <c r="F63" s="23">
        <f>G63+H63</f>
        <v>385911.2</v>
      </c>
      <c r="G63" s="34">
        <v>79709.2</v>
      </c>
      <c r="H63" s="34">
        <v>306202</v>
      </c>
      <c r="I63" s="27"/>
      <c r="J63" s="23">
        <f>K63+L63</f>
        <v>262787.3</v>
      </c>
      <c r="K63" s="27">
        <v>58543.1</v>
      </c>
      <c r="L63" s="27">
        <f>204244.2</f>
        <v>204244.2</v>
      </c>
      <c r="M63" s="27"/>
      <c r="N63" s="15">
        <f t="shared" si="1"/>
        <v>0.68100000000000005</v>
      </c>
    </row>
    <row r="64" spans="1:16" ht="17.25" x14ac:dyDescent="0.25">
      <c r="A64" s="16" t="s">
        <v>116</v>
      </c>
      <c r="B64" s="17" t="s">
        <v>117</v>
      </c>
      <c r="C64" s="18" t="s">
        <v>17</v>
      </c>
      <c r="D64" s="18" t="s">
        <v>17</v>
      </c>
      <c r="E64" s="18" t="s">
        <v>17</v>
      </c>
      <c r="F64" s="19">
        <f t="shared" ref="F64:M64" si="21">F65+F71+F77+F84+F92+F94</f>
        <v>2149989.1</v>
      </c>
      <c r="G64" s="19">
        <f t="shared" si="21"/>
        <v>1054294.6000000001</v>
      </c>
      <c r="H64" s="19">
        <f t="shared" si="21"/>
        <v>1056474.7</v>
      </c>
      <c r="I64" s="19">
        <f t="shared" si="21"/>
        <v>39219.800000000003</v>
      </c>
      <c r="J64" s="19">
        <f t="shared" si="21"/>
        <v>2050146.7</v>
      </c>
      <c r="K64" s="19">
        <f t="shared" si="21"/>
        <v>1050891</v>
      </c>
      <c r="L64" s="19">
        <f t="shared" si="21"/>
        <v>960170.3</v>
      </c>
      <c r="M64" s="19">
        <f t="shared" si="21"/>
        <v>39085.4</v>
      </c>
      <c r="N64" s="20">
        <f t="shared" si="1"/>
        <v>0.95399999999999996</v>
      </c>
      <c r="P64" s="5"/>
    </row>
    <row r="65" spans="1:16" ht="33" x14ac:dyDescent="0.25">
      <c r="A65" s="9" t="s">
        <v>118</v>
      </c>
      <c r="B65" s="21" t="s">
        <v>119</v>
      </c>
      <c r="C65" s="22" t="s">
        <v>17</v>
      </c>
      <c r="D65" s="22" t="s">
        <v>17</v>
      </c>
      <c r="E65" s="22" t="s">
        <v>17</v>
      </c>
      <c r="F65" s="23">
        <f t="shared" ref="F65:J65" si="22">SUM(F67:F70)</f>
        <v>1937980</v>
      </c>
      <c r="G65" s="23">
        <f t="shared" si="22"/>
        <v>937845.6</v>
      </c>
      <c r="H65" s="23">
        <f t="shared" si="22"/>
        <v>960927.8</v>
      </c>
      <c r="I65" s="23">
        <f t="shared" si="22"/>
        <v>39206.6</v>
      </c>
      <c r="J65" s="23">
        <f t="shared" si="22"/>
        <v>1838564.3</v>
      </c>
      <c r="K65" s="23">
        <f>SUM(K67:K70)</f>
        <v>934867.2</v>
      </c>
      <c r="L65" s="23">
        <f>SUM(L67:L70)</f>
        <v>864624.9</v>
      </c>
      <c r="M65" s="23">
        <f>SUM(M67:M70)</f>
        <v>39072.199999999997</v>
      </c>
      <c r="N65" s="15">
        <f t="shared" si="1"/>
        <v>0.94899999999999995</v>
      </c>
      <c r="P65" s="5"/>
    </row>
    <row r="66" spans="1:16" ht="17.25" x14ac:dyDescent="0.25">
      <c r="A66" s="11"/>
      <c r="B66" s="25" t="s">
        <v>20</v>
      </c>
      <c r="C66" s="26"/>
      <c r="D66" s="26"/>
      <c r="E66" s="26"/>
      <c r="F66" s="23"/>
      <c r="G66" s="27"/>
      <c r="H66" s="27"/>
      <c r="I66" s="27"/>
      <c r="J66" s="23"/>
      <c r="K66" s="27"/>
      <c r="L66" s="27"/>
      <c r="M66" s="27"/>
      <c r="N66" s="15"/>
    </row>
    <row r="67" spans="1:16" ht="66" x14ac:dyDescent="0.25">
      <c r="A67" s="11" t="s">
        <v>35</v>
      </c>
      <c r="B67" s="28" t="s">
        <v>120</v>
      </c>
      <c r="C67" s="26">
        <v>815</v>
      </c>
      <c r="D67" s="29" t="s">
        <v>65</v>
      </c>
      <c r="E67" s="46" t="s">
        <v>121</v>
      </c>
      <c r="F67" s="23">
        <f t="shared" ref="F67:F68" si="23">SUM(G67:H67)+I67</f>
        <v>46409.3</v>
      </c>
      <c r="G67" s="27">
        <v>1392.3</v>
      </c>
      <c r="H67" s="27">
        <v>45017</v>
      </c>
      <c r="I67" s="27"/>
      <c r="J67" s="23">
        <f t="shared" ref="J67:J68" si="24">SUM(K67:L67)</f>
        <v>46409.3</v>
      </c>
      <c r="K67" s="27">
        <f>721.9+181.04+5.24+143.39+340.75</f>
        <v>1392.3</v>
      </c>
      <c r="L67" s="27">
        <f>23340.3+5853.46+169.34+4636.26+11017.64</f>
        <v>45017</v>
      </c>
      <c r="M67" s="27"/>
      <c r="N67" s="15">
        <f t="shared" si="1"/>
        <v>1</v>
      </c>
      <c r="P67" s="5"/>
    </row>
    <row r="68" spans="1:16" ht="82.5" x14ac:dyDescent="0.25">
      <c r="A68" s="11" t="s">
        <v>35</v>
      </c>
      <c r="B68" s="28" t="s">
        <v>122</v>
      </c>
      <c r="C68" s="26">
        <v>821</v>
      </c>
      <c r="D68" s="29" t="s">
        <v>37</v>
      </c>
      <c r="E68" s="46" t="s">
        <v>123</v>
      </c>
      <c r="F68" s="23">
        <f t="shared" si="23"/>
        <v>99380.7</v>
      </c>
      <c r="G68" s="27">
        <v>2978.4</v>
      </c>
      <c r="H68" s="27">
        <v>96302.9</v>
      </c>
      <c r="I68" s="27">
        <v>99.4</v>
      </c>
      <c r="J68" s="23">
        <f t="shared" si="24"/>
        <v>0</v>
      </c>
      <c r="K68" s="27"/>
      <c r="L68" s="27"/>
      <c r="M68" s="27"/>
      <c r="N68" s="15">
        <f t="shared" si="1"/>
        <v>0</v>
      </c>
    </row>
    <row r="69" spans="1:16" ht="66" x14ac:dyDescent="0.25">
      <c r="A69" s="11" t="s">
        <v>35</v>
      </c>
      <c r="B69" s="28" t="s">
        <v>124</v>
      </c>
      <c r="C69" s="26">
        <v>821</v>
      </c>
      <c r="D69" s="29" t="s">
        <v>37</v>
      </c>
      <c r="E69" s="46" t="s">
        <v>125</v>
      </c>
      <c r="F69" s="23">
        <f t="shared" ref="F69:F70" si="25">G69+H69+I69</f>
        <v>1717190</v>
      </c>
      <c r="G69" s="27">
        <f>735974.9+160000</f>
        <v>895974.9</v>
      </c>
      <c r="H69" s="27">
        <v>819607.9</v>
      </c>
      <c r="I69" s="27">
        <v>1607.2</v>
      </c>
      <c r="J69" s="23">
        <f t="shared" ref="J69" si="26">SUM(K69:L69)+M69</f>
        <v>1717155</v>
      </c>
      <c r="K69" s="27">
        <f>655365.3+240609.6</f>
        <v>895974.9</v>
      </c>
      <c r="L69" s="27">
        <f>426043.4+393564.5</f>
        <v>819607.9</v>
      </c>
      <c r="M69" s="27">
        <v>1572.2</v>
      </c>
      <c r="N69" s="15">
        <f t="shared" si="1"/>
        <v>1</v>
      </c>
      <c r="P69" s="5"/>
    </row>
    <row r="70" spans="1:16" ht="66" x14ac:dyDescent="0.25">
      <c r="A70" s="11"/>
      <c r="B70" s="28" t="s">
        <v>126</v>
      </c>
      <c r="C70" s="26">
        <v>815</v>
      </c>
      <c r="D70" s="29" t="s">
        <v>65</v>
      </c>
      <c r="E70" s="46" t="s">
        <v>127</v>
      </c>
      <c r="F70" s="23">
        <f t="shared" si="25"/>
        <v>75000</v>
      </c>
      <c r="G70" s="27">
        <v>37500</v>
      </c>
      <c r="H70" s="27"/>
      <c r="I70" s="27">
        <v>37500</v>
      </c>
      <c r="J70" s="23">
        <f>SUM(K70:L70)+M70</f>
        <v>75000</v>
      </c>
      <c r="K70" s="27">
        <v>37500</v>
      </c>
      <c r="L70" s="27"/>
      <c r="M70" s="27">
        <v>37500</v>
      </c>
      <c r="N70" s="15">
        <f t="shared" si="1"/>
        <v>1</v>
      </c>
      <c r="P70" s="5"/>
    </row>
    <row r="71" spans="1:16" ht="33" x14ac:dyDescent="0.25">
      <c r="A71" s="9" t="s">
        <v>128</v>
      </c>
      <c r="B71" s="21" t="s">
        <v>129</v>
      </c>
      <c r="C71" s="22" t="s">
        <v>17</v>
      </c>
      <c r="D71" s="22" t="s">
        <v>17</v>
      </c>
      <c r="E71" s="22" t="s">
        <v>17</v>
      </c>
      <c r="F71" s="23">
        <f>SUM(F73:F76)</f>
        <v>37934.6</v>
      </c>
      <c r="G71" s="23">
        <f t="shared" ref="G71:L71" si="27">SUM(G73:G76)</f>
        <v>7443</v>
      </c>
      <c r="H71" s="23">
        <f t="shared" si="27"/>
        <v>30491.599999999999</v>
      </c>
      <c r="I71" s="23">
        <f t="shared" si="27"/>
        <v>0</v>
      </c>
      <c r="J71" s="23">
        <f t="shared" si="27"/>
        <v>37934.6</v>
      </c>
      <c r="K71" s="23">
        <f t="shared" si="27"/>
        <v>7443</v>
      </c>
      <c r="L71" s="23">
        <f t="shared" si="27"/>
        <v>30491.599999999999</v>
      </c>
      <c r="M71" s="23">
        <f>SUM(M73:M76)</f>
        <v>0</v>
      </c>
      <c r="N71" s="15">
        <f t="shared" si="1"/>
        <v>1</v>
      </c>
      <c r="P71" s="5"/>
    </row>
    <row r="72" spans="1:16" ht="17.25" x14ac:dyDescent="0.25">
      <c r="A72" s="11"/>
      <c r="B72" s="25" t="s">
        <v>20</v>
      </c>
      <c r="C72" s="26"/>
      <c r="D72" s="26"/>
      <c r="E72" s="26"/>
      <c r="F72" s="23"/>
      <c r="G72" s="27"/>
      <c r="H72" s="27"/>
      <c r="I72" s="27"/>
      <c r="J72" s="23"/>
      <c r="K72" s="27"/>
      <c r="L72" s="27"/>
      <c r="M72" s="27"/>
      <c r="N72" s="15"/>
    </row>
    <row r="73" spans="1:16" ht="82.5" x14ac:dyDescent="0.25">
      <c r="A73" s="11" t="s">
        <v>35</v>
      </c>
      <c r="B73" s="28" t="s">
        <v>130</v>
      </c>
      <c r="C73" s="26">
        <v>815</v>
      </c>
      <c r="D73" s="29" t="s">
        <v>65</v>
      </c>
      <c r="E73" s="46" t="s">
        <v>131</v>
      </c>
      <c r="F73" s="23">
        <f t="shared" ref="F73:F76" si="28">SUM(G73:H73)</f>
        <v>27001.7</v>
      </c>
      <c r="G73" s="27">
        <v>810.1</v>
      </c>
      <c r="H73" s="27">
        <v>26191.599999999999</v>
      </c>
      <c r="I73" s="27"/>
      <c r="J73" s="23">
        <f t="shared" ref="J73:J76" si="29">SUM(K73:L73)</f>
        <v>27001.7</v>
      </c>
      <c r="K73" s="27">
        <v>810.1</v>
      </c>
      <c r="L73" s="27">
        <f>456.5+1825.49+3242.64+10802.1+85.36+1975.95+5989.26+1814.27</f>
        <v>26191.599999999999</v>
      </c>
      <c r="M73" s="27"/>
      <c r="N73" s="15">
        <f t="shared" ref="N73:N136" si="30">J73/F73</f>
        <v>1</v>
      </c>
      <c r="P73" s="5"/>
    </row>
    <row r="74" spans="1:16" ht="82.5" x14ac:dyDescent="0.25">
      <c r="A74" s="11" t="s">
        <v>35</v>
      </c>
      <c r="B74" s="28" t="s">
        <v>130</v>
      </c>
      <c r="C74" s="26">
        <v>816</v>
      </c>
      <c r="D74" s="29" t="s">
        <v>132</v>
      </c>
      <c r="E74" s="46" t="s">
        <v>133</v>
      </c>
      <c r="F74" s="23">
        <f t="shared" si="28"/>
        <v>4433</v>
      </c>
      <c r="G74" s="27">
        <v>133</v>
      </c>
      <c r="H74" s="27">
        <v>4300</v>
      </c>
      <c r="I74" s="27"/>
      <c r="J74" s="23">
        <f t="shared" si="29"/>
        <v>4433</v>
      </c>
      <c r="K74" s="27">
        <v>133</v>
      </c>
      <c r="L74" s="27">
        <v>4300</v>
      </c>
      <c r="M74" s="27"/>
      <c r="N74" s="15">
        <f t="shared" si="30"/>
        <v>1</v>
      </c>
      <c r="P74" s="5"/>
    </row>
    <row r="75" spans="1:16" ht="66" x14ac:dyDescent="0.25">
      <c r="A75" s="11"/>
      <c r="B75" s="28" t="s">
        <v>134</v>
      </c>
      <c r="C75" s="26">
        <v>815</v>
      </c>
      <c r="D75" s="29" t="s">
        <v>65</v>
      </c>
      <c r="E75" s="11" t="s">
        <v>135</v>
      </c>
      <c r="F75" s="23">
        <f t="shared" si="28"/>
        <v>6249.9</v>
      </c>
      <c r="G75" s="27">
        <v>6249.9</v>
      </c>
      <c r="H75" s="27"/>
      <c r="I75" s="27"/>
      <c r="J75" s="23">
        <f t="shared" si="29"/>
        <v>6249.9</v>
      </c>
      <c r="K75" s="27">
        <f>5729.1+520.8</f>
        <v>6249.9</v>
      </c>
      <c r="L75" s="27"/>
      <c r="M75" s="27"/>
      <c r="N75" s="15">
        <f t="shared" si="30"/>
        <v>1</v>
      </c>
      <c r="P75" s="5"/>
    </row>
    <row r="76" spans="1:16" ht="66" x14ac:dyDescent="0.25">
      <c r="A76" s="11"/>
      <c r="B76" s="28" t="s">
        <v>136</v>
      </c>
      <c r="C76" s="26">
        <v>816</v>
      </c>
      <c r="D76" s="29" t="s">
        <v>132</v>
      </c>
      <c r="E76" s="46" t="s">
        <v>137</v>
      </c>
      <c r="F76" s="23">
        <f t="shared" si="28"/>
        <v>250</v>
      </c>
      <c r="G76" s="27">
        <v>250</v>
      </c>
      <c r="H76" s="27"/>
      <c r="I76" s="27"/>
      <c r="J76" s="23">
        <f t="shared" si="29"/>
        <v>250</v>
      </c>
      <c r="K76" s="27">
        <f>205+45</f>
        <v>250</v>
      </c>
      <c r="L76" s="27"/>
      <c r="M76" s="27"/>
      <c r="N76" s="15">
        <f t="shared" si="30"/>
        <v>1</v>
      </c>
      <c r="P76" s="5"/>
    </row>
    <row r="77" spans="1:16" ht="33" x14ac:dyDescent="0.25">
      <c r="A77" s="9" t="s">
        <v>138</v>
      </c>
      <c r="B77" s="21" t="s">
        <v>139</v>
      </c>
      <c r="C77" s="22" t="s">
        <v>17</v>
      </c>
      <c r="D77" s="22" t="s">
        <v>17</v>
      </c>
      <c r="E77" s="22" t="s">
        <v>17</v>
      </c>
      <c r="F77" s="23">
        <f>SUM(F79:F83)</f>
        <v>94449.600000000006</v>
      </c>
      <c r="G77" s="23">
        <f t="shared" ref="G77:L77" si="31">SUM(G79:G83)</f>
        <v>83475.7</v>
      </c>
      <c r="H77" s="23">
        <f t="shared" si="31"/>
        <v>10960.7</v>
      </c>
      <c r="I77" s="23">
        <f t="shared" si="31"/>
        <v>13.2</v>
      </c>
      <c r="J77" s="23">
        <f t="shared" si="31"/>
        <v>94033.600000000006</v>
      </c>
      <c r="K77" s="23">
        <f t="shared" si="31"/>
        <v>83061.2</v>
      </c>
      <c r="L77" s="23">
        <f t="shared" si="31"/>
        <v>10959.2</v>
      </c>
      <c r="M77" s="23">
        <f>SUM(M79:M83)</f>
        <v>13.2</v>
      </c>
      <c r="N77" s="15">
        <f t="shared" si="30"/>
        <v>0.996</v>
      </c>
    </row>
    <row r="78" spans="1:16" ht="17.25" x14ac:dyDescent="0.25">
      <c r="A78" s="11"/>
      <c r="B78" s="25" t="s">
        <v>20</v>
      </c>
      <c r="C78" s="26"/>
      <c r="D78" s="26"/>
      <c r="E78" s="26"/>
      <c r="F78" s="23"/>
      <c r="G78" s="27"/>
      <c r="H78" s="27"/>
      <c r="I78" s="27"/>
      <c r="J78" s="23"/>
      <c r="K78" s="27"/>
      <c r="L78" s="27"/>
      <c r="M78" s="27"/>
      <c r="N78" s="15"/>
    </row>
    <row r="79" spans="1:16" ht="66" x14ac:dyDescent="0.25">
      <c r="A79" s="11" t="s">
        <v>35</v>
      </c>
      <c r="B79" s="28" t="s">
        <v>140</v>
      </c>
      <c r="C79" s="26">
        <v>821</v>
      </c>
      <c r="D79" s="29" t="s">
        <v>37</v>
      </c>
      <c r="E79" s="46" t="s">
        <v>141</v>
      </c>
      <c r="F79" s="23">
        <f>G79+H79+I79</f>
        <v>13244.6</v>
      </c>
      <c r="G79" s="27">
        <v>2270.6999999999998</v>
      </c>
      <c r="H79" s="27">
        <v>10960.7</v>
      </c>
      <c r="I79" s="27">
        <v>13.2</v>
      </c>
      <c r="J79" s="23">
        <f>SUM(K79:L79)+M79</f>
        <v>13242.8</v>
      </c>
      <c r="K79" s="27">
        <v>2270.4</v>
      </c>
      <c r="L79" s="27">
        <v>10959.2</v>
      </c>
      <c r="M79" s="27">
        <v>13.2</v>
      </c>
      <c r="N79" s="15">
        <f t="shared" si="30"/>
        <v>1</v>
      </c>
    </row>
    <row r="80" spans="1:16" ht="66" x14ac:dyDescent="0.25">
      <c r="A80" s="11"/>
      <c r="B80" s="28" t="s">
        <v>142</v>
      </c>
      <c r="C80" s="26">
        <v>815</v>
      </c>
      <c r="D80" s="29" t="s">
        <v>65</v>
      </c>
      <c r="E80" s="46" t="s">
        <v>143</v>
      </c>
      <c r="F80" s="23">
        <f t="shared" ref="F80:F83" si="32">SUM(G80:H80)</f>
        <v>30000</v>
      </c>
      <c r="G80" s="27">
        <v>30000</v>
      </c>
      <c r="H80" s="27"/>
      <c r="I80" s="27"/>
      <c r="J80" s="23">
        <f t="shared" ref="J80:J83" si="33">SUM(K80:L80)</f>
        <v>30000</v>
      </c>
      <c r="K80" s="27">
        <f>27092.5+1927.51+980</f>
        <v>30000</v>
      </c>
      <c r="L80" s="27"/>
      <c r="M80" s="27"/>
      <c r="N80" s="15">
        <f t="shared" si="30"/>
        <v>1</v>
      </c>
    </row>
    <row r="81" spans="1:16" ht="82.5" x14ac:dyDescent="0.25">
      <c r="A81" s="11"/>
      <c r="B81" s="28" t="s">
        <v>144</v>
      </c>
      <c r="C81" s="26">
        <v>815</v>
      </c>
      <c r="D81" s="29" t="s">
        <v>65</v>
      </c>
      <c r="E81" s="11" t="s">
        <v>145</v>
      </c>
      <c r="F81" s="23">
        <f t="shared" si="32"/>
        <v>35464.5</v>
      </c>
      <c r="G81" s="27">
        <v>35464.5</v>
      </c>
      <c r="H81" s="27"/>
      <c r="I81" s="27"/>
      <c r="J81" s="23">
        <f t="shared" si="33"/>
        <v>35464.5</v>
      </c>
      <c r="K81" s="27">
        <f>35036+428.48</f>
        <v>35464.5</v>
      </c>
      <c r="L81" s="27"/>
      <c r="M81" s="27"/>
      <c r="N81" s="15">
        <f t="shared" si="30"/>
        <v>1</v>
      </c>
    </row>
    <row r="82" spans="1:16" ht="66" x14ac:dyDescent="0.25">
      <c r="A82" s="11"/>
      <c r="B82" s="28" t="s">
        <v>146</v>
      </c>
      <c r="C82" s="26">
        <v>815</v>
      </c>
      <c r="D82" s="29" t="s">
        <v>65</v>
      </c>
      <c r="E82" s="11" t="s">
        <v>147</v>
      </c>
      <c r="F82" s="23">
        <f t="shared" si="32"/>
        <v>10720</v>
      </c>
      <c r="G82" s="27">
        <v>10720</v>
      </c>
      <c r="H82" s="27"/>
      <c r="I82" s="27"/>
      <c r="J82" s="23">
        <f t="shared" si="33"/>
        <v>10311.200000000001</v>
      </c>
      <c r="K82" s="27">
        <f>7260.2+3051</f>
        <v>10311.200000000001</v>
      </c>
      <c r="L82" s="27"/>
      <c r="M82" s="27"/>
      <c r="N82" s="15">
        <f t="shared" si="30"/>
        <v>0.96199999999999997</v>
      </c>
    </row>
    <row r="83" spans="1:16" ht="66" x14ac:dyDescent="0.25">
      <c r="A83" s="11"/>
      <c r="B83" s="28" t="s">
        <v>148</v>
      </c>
      <c r="C83" s="26">
        <v>815</v>
      </c>
      <c r="D83" s="29" t="s">
        <v>65</v>
      </c>
      <c r="E83" s="11" t="s">
        <v>149</v>
      </c>
      <c r="F83" s="23">
        <f t="shared" si="32"/>
        <v>5020.5</v>
      </c>
      <c r="G83" s="27">
        <v>5020.5</v>
      </c>
      <c r="H83" s="27"/>
      <c r="I83" s="27"/>
      <c r="J83" s="23">
        <f t="shared" si="33"/>
        <v>5015.1000000000004</v>
      </c>
      <c r="K83" s="27">
        <v>5015.1000000000004</v>
      </c>
      <c r="L83" s="27"/>
      <c r="M83" s="27"/>
      <c r="N83" s="15">
        <f t="shared" si="30"/>
        <v>0.999</v>
      </c>
    </row>
    <row r="84" spans="1:16" ht="66" x14ac:dyDescent="0.25">
      <c r="A84" s="9" t="s">
        <v>150</v>
      </c>
      <c r="B84" s="21" t="s">
        <v>151</v>
      </c>
      <c r="C84" s="22" t="s">
        <v>17</v>
      </c>
      <c r="D84" s="22" t="s">
        <v>17</v>
      </c>
      <c r="E84" s="22" t="s">
        <v>17</v>
      </c>
      <c r="F84" s="23">
        <f>F86+F87+F88+F89+F90+F91</f>
        <v>78319.7</v>
      </c>
      <c r="G84" s="23">
        <f t="shared" ref="G84:M84" si="34">G86+G87+G88+G89+G90+G91</f>
        <v>24225.1</v>
      </c>
      <c r="H84" s="23">
        <f t="shared" si="34"/>
        <v>54094.6</v>
      </c>
      <c r="I84" s="23">
        <f t="shared" si="34"/>
        <v>0</v>
      </c>
      <c r="J84" s="23">
        <f t="shared" si="34"/>
        <v>78309</v>
      </c>
      <c r="K84" s="23">
        <f t="shared" si="34"/>
        <v>24214.400000000001</v>
      </c>
      <c r="L84" s="23">
        <f t="shared" si="34"/>
        <v>54094.6</v>
      </c>
      <c r="M84" s="23">
        <f t="shared" si="34"/>
        <v>0</v>
      </c>
      <c r="N84" s="15">
        <f t="shared" si="30"/>
        <v>1</v>
      </c>
    </row>
    <row r="85" spans="1:16" ht="17.25" x14ac:dyDescent="0.25">
      <c r="A85" s="11"/>
      <c r="B85" s="25" t="s">
        <v>20</v>
      </c>
      <c r="C85" s="26"/>
      <c r="D85" s="26"/>
      <c r="E85" s="26"/>
      <c r="F85" s="23"/>
      <c r="G85" s="27"/>
      <c r="H85" s="27"/>
      <c r="I85" s="27"/>
      <c r="J85" s="23"/>
      <c r="K85" s="27"/>
      <c r="L85" s="27"/>
      <c r="M85" s="27"/>
      <c r="N85" s="15"/>
    </row>
    <row r="86" spans="1:16" ht="82.5" x14ac:dyDescent="0.25">
      <c r="A86" s="11" t="s">
        <v>35</v>
      </c>
      <c r="B86" s="28" t="s">
        <v>152</v>
      </c>
      <c r="C86" s="26">
        <v>816</v>
      </c>
      <c r="D86" s="29" t="s">
        <v>132</v>
      </c>
      <c r="E86" s="46" t="s">
        <v>153</v>
      </c>
      <c r="F86" s="23">
        <f t="shared" ref="F86:F91" si="35">SUM(G86:H86)</f>
        <v>55767.6</v>
      </c>
      <c r="G86" s="27">
        <v>1673</v>
      </c>
      <c r="H86" s="27">
        <v>54094.6</v>
      </c>
      <c r="I86" s="27"/>
      <c r="J86" s="23">
        <f t="shared" ref="J86:J91" si="36">SUM(K86:L86)</f>
        <v>55767.6</v>
      </c>
      <c r="K86" s="27">
        <f>1673</f>
        <v>1673</v>
      </c>
      <c r="L86" s="27">
        <f>38521.1+13276.12+1302.17+995.19</f>
        <v>54094.6</v>
      </c>
      <c r="M86" s="27"/>
      <c r="N86" s="15">
        <f t="shared" si="30"/>
        <v>1</v>
      </c>
    </row>
    <row r="87" spans="1:16" ht="66" x14ac:dyDescent="0.25">
      <c r="A87" s="11"/>
      <c r="B87" s="28" t="s">
        <v>154</v>
      </c>
      <c r="C87" s="26">
        <v>816</v>
      </c>
      <c r="D87" s="29" t="s">
        <v>132</v>
      </c>
      <c r="E87" s="46" t="s">
        <v>155</v>
      </c>
      <c r="F87" s="23">
        <f t="shared" si="35"/>
        <v>4975</v>
      </c>
      <c r="G87" s="27">
        <v>4975</v>
      </c>
      <c r="H87" s="27"/>
      <c r="I87" s="27"/>
      <c r="J87" s="23">
        <f t="shared" si="36"/>
        <v>4975</v>
      </c>
      <c r="K87" s="27">
        <v>4975</v>
      </c>
      <c r="L87" s="27"/>
      <c r="M87" s="27"/>
      <c r="N87" s="15">
        <f t="shared" si="30"/>
        <v>1</v>
      </c>
    </row>
    <row r="88" spans="1:16" ht="99" x14ac:dyDescent="0.25">
      <c r="A88" s="11"/>
      <c r="B88" s="28" t="s">
        <v>156</v>
      </c>
      <c r="C88" s="26">
        <v>816</v>
      </c>
      <c r="D88" s="29" t="s">
        <v>132</v>
      </c>
      <c r="E88" s="46" t="s">
        <v>157</v>
      </c>
      <c r="F88" s="23">
        <f t="shared" si="35"/>
        <v>8907.1</v>
      </c>
      <c r="G88" s="27">
        <v>8907.1</v>
      </c>
      <c r="H88" s="27"/>
      <c r="I88" s="27"/>
      <c r="J88" s="23">
        <f t="shared" si="36"/>
        <v>8907.1</v>
      </c>
      <c r="K88" s="27">
        <f>4876.8+2400.35+15.51+1578.23+36.2</f>
        <v>8907.1</v>
      </c>
      <c r="L88" s="27"/>
      <c r="M88" s="27"/>
      <c r="N88" s="15">
        <f t="shared" si="30"/>
        <v>1</v>
      </c>
    </row>
    <row r="89" spans="1:16" ht="82.5" x14ac:dyDescent="0.25">
      <c r="A89" s="11"/>
      <c r="B89" s="28" t="s">
        <v>158</v>
      </c>
      <c r="C89" s="26">
        <v>816</v>
      </c>
      <c r="D89" s="29" t="s">
        <v>132</v>
      </c>
      <c r="E89" s="46" t="s">
        <v>159</v>
      </c>
      <c r="F89" s="23">
        <f t="shared" si="35"/>
        <v>3840</v>
      </c>
      <c r="G89" s="27">
        <v>3840</v>
      </c>
      <c r="H89" s="27"/>
      <c r="I89" s="27"/>
      <c r="J89" s="23">
        <f t="shared" si="36"/>
        <v>3840</v>
      </c>
      <c r="K89" s="27">
        <v>3840</v>
      </c>
      <c r="L89" s="27"/>
      <c r="M89" s="27"/>
      <c r="N89" s="15">
        <f t="shared" si="30"/>
        <v>1</v>
      </c>
    </row>
    <row r="90" spans="1:16" ht="115.5" x14ac:dyDescent="0.25">
      <c r="A90" s="11"/>
      <c r="B90" s="28" t="s">
        <v>160</v>
      </c>
      <c r="C90" s="26">
        <v>816</v>
      </c>
      <c r="D90" s="29" t="s">
        <v>132</v>
      </c>
      <c r="E90" s="46" t="s">
        <v>161</v>
      </c>
      <c r="F90" s="23">
        <f t="shared" si="35"/>
        <v>280</v>
      </c>
      <c r="G90" s="27">
        <v>280</v>
      </c>
      <c r="H90" s="27"/>
      <c r="I90" s="27"/>
      <c r="J90" s="23">
        <f t="shared" si="36"/>
        <v>280</v>
      </c>
      <c r="K90" s="27">
        <v>280</v>
      </c>
      <c r="L90" s="27"/>
      <c r="M90" s="27"/>
      <c r="N90" s="15">
        <f t="shared" si="30"/>
        <v>1</v>
      </c>
    </row>
    <row r="91" spans="1:16" ht="66" x14ac:dyDescent="0.25">
      <c r="A91" s="11"/>
      <c r="B91" s="28" t="s">
        <v>162</v>
      </c>
      <c r="C91" s="26">
        <v>816</v>
      </c>
      <c r="D91" s="29" t="s">
        <v>132</v>
      </c>
      <c r="E91" s="46" t="s">
        <v>163</v>
      </c>
      <c r="F91" s="23">
        <f t="shared" si="35"/>
        <v>4550</v>
      </c>
      <c r="G91" s="27">
        <v>4550</v>
      </c>
      <c r="H91" s="27"/>
      <c r="I91" s="27"/>
      <c r="J91" s="23">
        <f t="shared" si="36"/>
        <v>4539.3</v>
      </c>
      <c r="K91" s="27">
        <f>4054+56.54+75.83+30.78+30.65+14.96+276.56</f>
        <v>4539.3</v>
      </c>
      <c r="L91" s="27"/>
      <c r="M91" s="27"/>
      <c r="N91" s="15">
        <f t="shared" si="30"/>
        <v>0.998</v>
      </c>
    </row>
    <row r="92" spans="1:16" ht="33" x14ac:dyDescent="0.25">
      <c r="A92" s="9" t="s">
        <v>164</v>
      </c>
      <c r="B92" s="21" t="s">
        <v>165</v>
      </c>
      <c r="C92" s="22" t="s">
        <v>17</v>
      </c>
      <c r="D92" s="22" t="s">
        <v>17</v>
      </c>
      <c r="E92" s="22" t="s">
        <v>17</v>
      </c>
      <c r="F92" s="23">
        <f t="shared" ref="F92:L94" si="37">F93</f>
        <v>1066</v>
      </c>
      <c r="G92" s="23">
        <f t="shared" si="37"/>
        <v>1066</v>
      </c>
      <c r="H92" s="23">
        <f t="shared" si="37"/>
        <v>0</v>
      </c>
      <c r="I92" s="23">
        <f t="shared" si="37"/>
        <v>0</v>
      </c>
      <c r="J92" s="23">
        <f t="shared" si="37"/>
        <v>1066</v>
      </c>
      <c r="K92" s="23">
        <f t="shared" si="37"/>
        <v>1066</v>
      </c>
      <c r="L92" s="23">
        <f t="shared" si="37"/>
        <v>0</v>
      </c>
      <c r="M92" s="23">
        <f>M93</f>
        <v>0</v>
      </c>
      <c r="N92" s="15">
        <f t="shared" si="30"/>
        <v>1</v>
      </c>
    </row>
    <row r="93" spans="1:16" ht="66" x14ac:dyDescent="0.25">
      <c r="A93" s="11"/>
      <c r="B93" s="28" t="s">
        <v>166</v>
      </c>
      <c r="C93" s="26">
        <v>815</v>
      </c>
      <c r="D93" s="29" t="s">
        <v>65</v>
      </c>
      <c r="E93" s="46" t="s">
        <v>167</v>
      </c>
      <c r="F93" s="23">
        <f>SUM(G93:H93)</f>
        <v>1066</v>
      </c>
      <c r="G93" s="27">
        <v>1066</v>
      </c>
      <c r="H93" s="27"/>
      <c r="I93" s="27"/>
      <c r="J93" s="23">
        <f>SUM(K93:L93)</f>
        <v>1066</v>
      </c>
      <c r="K93" s="27">
        <f>701.4+10+5+100+1.32+5+243.3</f>
        <v>1066</v>
      </c>
      <c r="L93" s="27"/>
      <c r="M93" s="27"/>
      <c r="N93" s="15">
        <f t="shared" si="30"/>
        <v>1</v>
      </c>
    </row>
    <row r="94" spans="1:16" ht="33" x14ac:dyDescent="0.25">
      <c r="A94" s="9" t="s">
        <v>168</v>
      </c>
      <c r="B94" s="21" t="s">
        <v>169</v>
      </c>
      <c r="C94" s="22" t="s">
        <v>17</v>
      </c>
      <c r="D94" s="22" t="s">
        <v>17</v>
      </c>
      <c r="E94" s="22" t="s">
        <v>17</v>
      </c>
      <c r="F94" s="23">
        <f t="shared" si="37"/>
        <v>239.2</v>
      </c>
      <c r="G94" s="23">
        <f t="shared" si="37"/>
        <v>239.2</v>
      </c>
      <c r="H94" s="23">
        <f t="shared" si="37"/>
        <v>0</v>
      </c>
      <c r="I94" s="23"/>
      <c r="J94" s="23">
        <f t="shared" si="37"/>
        <v>239.2</v>
      </c>
      <c r="K94" s="23">
        <f t="shared" si="37"/>
        <v>239.2</v>
      </c>
      <c r="L94" s="23">
        <f t="shared" si="37"/>
        <v>0</v>
      </c>
      <c r="M94" s="23">
        <f>M95</f>
        <v>0</v>
      </c>
      <c r="N94" s="15">
        <f t="shared" si="30"/>
        <v>1</v>
      </c>
    </row>
    <row r="95" spans="1:16" ht="82.5" x14ac:dyDescent="0.25">
      <c r="A95" s="11"/>
      <c r="B95" s="28" t="s">
        <v>170</v>
      </c>
      <c r="C95" s="26">
        <v>815</v>
      </c>
      <c r="D95" s="29" t="s">
        <v>65</v>
      </c>
      <c r="E95" s="46" t="s">
        <v>171</v>
      </c>
      <c r="F95" s="23">
        <f>SUM(G95:H95)</f>
        <v>239.2</v>
      </c>
      <c r="G95" s="27">
        <v>239.24</v>
      </c>
      <c r="H95" s="27"/>
      <c r="I95" s="27"/>
      <c r="J95" s="23">
        <f>SUM(K95:L95)</f>
        <v>239.2</v>
      </c>
      <c r="K95" s="27">
        <v>239.2</v>
      </c>
      <c r="L95" s="27"/>
      <c r="M95" s="27"/>
      <c r="N95" s="15">
        <f t="shared" si="30"/>
        <v>1</v>
      </c>
    </row>
    <row r="96" spans="1:16" ht="33" x14ac:dyDescent="0.25">
      <c r="A96" s="16" t="s">
        <v>172</v>
      </c>
      <c r="B96" s="47" t="s">
        <v>173</v>
      </c>
      <c r="C96" s="18" t="s">
        <v>17</v>
      </c>
      <c r="D96" s="18" t="s">
        <v>17</v>
      </c>
      <c r="E96" s="18" t="s">
        <v>17</v>
      </c>
      <c r="F96" s="19">
        <f t="shared" ref="F96:M96" si="38">F97+F101+F104+F107+F114</f>
        <v>105836.2</v>
      </c>
      <c r="G96" s="19">
        <f t="shared" si="38"/>
        <v>105836.1</v>
      </c>
      <c r="H96" s="19">
        <f t="shared" si="38"/>
        <v>0</v>
      </c>
      <c r="I96" s="19">
        <f t="shared" si="38"/>
        <v>0</v>
      </c>
      <c r="J96" s="19">
        <f t="shared" si="38"/>
        <v>104117.1</v>
      </c>
      <c r="K96" s="19">
        <f t="shared" si="38"/>
        <v>104117.1</v>
      </c>
      <c r="L96" s="19">
        <f t="shared" si="38"/>
        <v>0</v>
      </c>
      <c r="M96" s="19">
        <f t="shared" si="38"/>
        <v>0</v>
      </c>
      <c r="N96" s="20">
        <f t="shared" si="30"/>
        <v>0.98399999999999999</v>
      </c>
      <c r="P96" s="5"/>
    </row>
    <row r="97" spans="1:14" ht="33" x14ac:dyDescent="0.25">
      <c r="A97" s="9" t="s">
        <v>174</v>
      </c>
      <c r="B97" s="21" t="s">
        <v>175</v>
      </c>
      <c r="C97" s="22" t="s">
        <v>17</v>
      </c>
      <c r="D97" s="22" t="s">
        <v>17</v>
      </c>
      <c r="E97" s="22" t="s">
        <v>17</v>
      </c>
      <c r="F97" s="23">
        <f>F98+F99+F100</f>
        <v>5428.6</v>
      </c>
      <c r="G97" s="23">
        <f>G98+G99+G100</f>
        <v>5428.6</v>
      </c>
      <c r="H97" s="23">
        <f t="shared" ref="H97:I97" si="39">H98+H99</f>
        <v>0</v>
      </c>
      <c r="I97" s="23">
        <f t="shared" si="39"/>
        <v>0</v>
      </c>
      <c r="J97" s="23">
        <f>J98+J99+J100</f>
        <v>5428.6</v>
      </c>
      <c r="K97" s="23">
        <f>K98+K99+K100</f>
        <v>5428.6</v>
      </c>
      <c r="L97" s="23">
        <f>L98+L99</f>
        <v>0</v>
      </c>
      <c r="M97" s="23">
        <f>SUM(M98:M100)</f>
        <v>0</v>
      </c>
      <c r="N97" s="15">
        <f t="shared" si="30"/>
        <v>1</v>
      </c>
    </row>
    <row r="98" spans="1:14" ht="66" x14ac:dyDescent="0.25">
      <c r="A98" s="11"/>
      <c r="B98" s="28" t="s">
        <v>176</v>
      </c>
      <c r="C98" s="26">
        <v>815</v>
      </c>
      <c r="D98" s="29" t="s">
        <v>65</v>
      </c>
      <c r="E98" s="46" t="s">
        <v>177</v>
      </c>
      <c r="F98" s="23">
        <f t="shared" ref="F98:F99" si="40">SUM(G98:H98)</f>
        <v>5000</v>
      </c>
      <c r="G98" s="27">
        <f>3550+1450</f>
        <v>5000</v>
      </c>
      <c r="H98" s="27"/>
      <c r="I98" s="27"/>
      <c r="J98" s="23">
        <f t="shared" ref="J98:J99" si="41">SUM(K98:L98)</f>
        <v>5000</v>
      </c>
      <c r="K98" s="27">
        <f>3550+1450</f>
        <v>5000</v>
      </c>
      <c r="L98" s="27"/>
      <c r="M98" s="27"/>
      <c r="N98" s="15">
        <f t="shared" si="30"/>
        <v>1</v>
      </c>
    </row>
    <row r="99" spans="1:14" ht="66" x14ac:dyDescent="0.25">
      <c r="A99" s="11"/>
      <c r="B99" s="28" t="s">
        <v>178</v>
      </c>
      <c r="C99" s="26">
        <v>815</v>
      </c>
      <c r="D99" s="29" t="s">
        <v>65</v>
      </c>
      <c r="E99" s="46" t="s">
        <v>179</v>
      </c>
      <c r="F99" s="23">
        <f t="shared" si="40"/>
        <v>244.9</v>
      </c>
      <c r="G99" s="27">
        <v>244.9</v>
      </c>
      <c r="H99" s="27"/>
      <c r="I99" s="27"/>
      <c r="J99" s="23">
        <f t="shared" si="41"/>
        <v>244.9</v>
      </c>
      <c r="K99" s="27">
        <v>244.9</v>
      </c>
      <c r="L99" s="27"/>
      <c r="M99" s="27"/>
      <c r="N99" s="15">
        <f t="shared" si="30"/>
        <v>1</v>
      </c>
    </row>
    <row r="100" spans="1:14" ht="99" x14ac:dyDescent="0.25">
      <c r="A100" s="11"/>
      <c r="B100" s="28" t="s">
        <v>180</v>
      </c>
      <c r="C100" s="26">
        <v>815</v>
      </c>
      <c r="D100" s="29" t="s">
        <v>65</v>
      </c>
      <c r="E100" s="46" t="s">
        <v>181</v>
      </c>
      <c r="F100" s="23">
        <f>SUM(G100:H100)</f>
        <v>183.7</v>
      </c>
      <c r="G100" s="27">
        <f>61.2+122.45</f>
        <v>183.7</v>
      </c>
      <c r="H100" s="27"/>
      <c r="I100" s="27"/>
      <c r="J100" s="23">
        <f>SUM(K100:L100)</f>
        <v>183.7</v>
      </c>
      <c r="K100" s="27">
        <f>61.2+61.23+61.23</f>
        <v>183.7</v>
      </c>
      <c r="L100" s="27"/>
      <c r="M100" s="27"/>
      <c r="N100" s="15">
        <f t="shared" si="30"/>
        <v>1</v>
      </c>
    </row>
    <row r="101" spans="1:14" ht="33" x14ac:dyDescent="0.25">
      <c r="A101" s="9" t="s">
        <v>182</v>
      </c>
      <c r="B101" s="21" t="s">
        <v>183</v>
      </c>
      <c r="C101" s="22" t="s">
        <v>17</v>
      </c>
      <c r="D101" s="22" t="s">
        <v>17</v>
      </c>
      <c r="E101" s="22" t="s">
        <v>17</v>
      </c>
      <c r="F101" s="23">
        <f>F103</f>
        <v>60000</v>
      </c>
      <c r="G101" s="23">
        <f t="shared" ref="G101:I101" si="42">G103</f>
        <v>60000</v>
      </c>
      <c r="H101" s="23">
        <f t="shared" si="42"/>
        <v>0</v>
      </c>
      <c r="I101" s="23">
        <f t="shared" si="42"/>
        <v>0</v>
      </c>
      <c r="J101" s="23">
        <f>J103</f>
        <v>59999</v>
      </c>
      <c r="K101" s="23">
        <f t="shared" ref="K101:L101" si="43">SUM(K103)</f>
        <v>59999</v>
      </c>
      <c r="L101" s="23">
        <f t="shared" si="43"/>
        <v>0</v>
      </c>
      <c r="M101" s="23">
        <f>M103</f>
        <v>0</v>
      </c>
      <c r="N101" s="15">
        <f t="shared" si="30"/>
        <v>1</v>
      </c>
    </row>
    <row r="102" spans="1:14" ht="17.25" x14ac:dyDescent="0.25">
      <c r="A102" s="11"/>
      <c r="B102" s="48" t="s">
        <v>20</v>
      </c>
      <c r="C102" s="26"/>
      <c r="D102" s="29"/>
      <c r="E102" s="46"/>
      <c r="F102" s="23"/>
      <c r="G102" s="27"/>
      <c r="H102" s="27"/>
      <c r="I102" s="27"/>
      <c r="J102" s="23"/>
      <c r="K102" s="27"/>
      <c r="L102" s="27"/>
      <c r="M102" s="27"/>
      <c r="N102" s="15"/>
    </row>
    <row r="103" spans="1:14" ht="99" x14ac:dyDescent="0.25">
      <c r="A103" s="11"/>
      <c r="B103" s="28" t="s">
        <v>184</v>
      </c>
      <c r="C103" s="26">
        <v>840</v>
      </c>
      <c r="D103" s="29" t="s">
        <v>185</v>
      </c>
      <c r="E103" s="46" t="s">
        <v>186</v>
      </c>
      <c r="F103" s="23">
        <f>SUM(G103:H103)</f>
        <v>60000</v>
      </c>
      <c r="G103" s="27">
        <f>56878.3+3121.72</f>
        <v>60000</v>
      </c>
      <c r="H103" s="27"/>
      <c r="I103" s="27"/>
      <c r="J103" s="23">
        <f>SUM(K103:L103)</f>
        <v>59999</v>
      </c>
      <c r="K103" s="27">
        <f>35000+24999.04</f>
        <v>59999</v>
      </c>
      <c r="L103" s="27"/>
      <c r="M103" s="27"/>
      <c r="N103" s="15">
        <f t="shared" si="30"/>
        <v>1</v>
      </c>
    </row>
    <row r="104" spans="1:14" ht="33" x14ac:dyDescent="0.25">
      <c r="A104" s="9" t="s">
        <v>187</v>
      </c>
      <c r="B104" s="21" t="s">
        <v>188</v>
      </c>
      <c r="C104" s="22" t="s">
        <v>17</v>
      </c>
      <c r="D104" s="22" t="s">
        <v>17</v>
      </c>
      <c r="E104" s="22" t="s">
        <v>17</v>
      </c>
      <c r="F104" s="23">
        <f>F106</f>
        <v>1300</v>
      </c>
      <c r="G104" s="23">
        <f>SUM(G106)</f>
        <v>1300</v>
      </c>
      <c r="H104" s="23">
        <f t="shared" ref="H104:L104" si="44">SUM(H106)</f>
        <v>0</v>
      </c>
      <c r="I104" s="23">
        <f t="shared" si="44"/>
        <v>0</v>
      </c>
      <c r="J104" s="23">
        <f t="shared" si="44"/>
        <v>1282.4000000000001</v>
      </c>
      <c r="K104" s="23">
        <f t="shared" si="44"/>
        <v>1282.4000000000001</v>
      </c>
      <c r="L104" s="23">
        <f t="shared" si="44"/>
        <v>0</v>
      </c>
      <c r="M104" s="23">
        <f>M106</f>
        <v>0</v>
      </c>
      <c r="N104" s="15">
        <f t="shared" si="30"/>
        <v>0.98599999999999999</v>
      </c>
    </row>
    <row r="105" spans="1:14" ht="17.25" x14ac:dyDescent="0.25">
      <c r="A105" s="11"/>
      <c r="B105" s="28" t="s">
        <v>20</v>
      </c>
      <c r="C105" s="26"/>
      <c r="D105" s="29"/>
      <c r="E105" s="46"/>
      <c r="F105" s="23"/>
      <c r="G105" s="27"/>
      <c r="H105" s="27"/>
      <c r="I105" s="27"/>
      <c r="J105" s="23"/>
      <c r="K105" s="27"/>
      <c r="L105" s="27"/>
      <c r="M105" s="27"/>
      <c r="N105" s="15"/>
    </row>
    <row r="106" spans="1:14" ht="66" x14ac:dyDescent="0.25">
      <c r="A106" s="11"/>
      <c r="B106" s="28" t="s">
        <v>189</v>
      </c>
      <c r="C106" s="26">
        <v>804</v>
      </c>
      <c r="D106" s="29" t="s">
        <v>190</v>
      </c>
      <c r="E106" s="11" t="s">
        <v>191</v>
      </c>
      <c r="F106" s="23">
        <f>SUM(G106:H106)</f>
        <v>1300</v>
      </c>
      <c r="G106" s="27">
        <v>1300</v>
      </c>
      <c r="H106" s="27"/>
      <c r="I106" s="27"/>
      <c r="J106" s="23">
        <f>SUM(K106:L106)</f>
        <v>1282.4000000000001</v>
      </c>
      <c r="K106" s="27">
        <v>1282.4000000000001</v>
      </c>
      <c r="L106" s="27"/>
      <c r="M106" s="27"/>
      <c r="N106" s="15">
        <f t="shared" si="30"/>
        <v>0.98599999999999999</v>
      </c>
    </row>
    <row r="107" spans="1:14" ht="33" x14ac:dyDescent="0.25">
      <c r="A107" s="9" t="s">
        <v>192</v>
      </c>
      <c r="B107" s="21" t="s">
        <v>193</v>
      </c>
      <c r="C107" s="22" t="s">
        <v>17</v>
      </c>
      <c r="D107" s="22" t="s">
        <v>17</v>
      </c>
      <c r="E107" s="22" t="s">
        <v>17</v>
      </c>
      <c r="F107" s="23">
        <f t="shared" ref="F107:M107" si="45">SUM(F109:F113)</f>
        <v>21103.7</v>
      </c>
      <c r="G107" s="23">
        <f t="shared" si="45"/>
        <v>21103.599999999999</v>
      </c>
      <c r="H107" s="23">
        <f t="shared" si="45"/>
        <v>0</v>
      </c>
      <c r="I107" s="23">
        <f t="shared" si="45"/>
        <v>0</v>
      </c>
      <c r="J107" s="23">
        <f t="shared" si="45"/>
        <v>21090</v>
      </c>
      <c r="K107" s="23">
        <f t="shared" si="45"/>
        <v>21090</v>
      </c>
      <c r="L107" s="23">
        <f t="shared" si="45"/>
        <v>0</v>
      </c>
      <c r="M107" s="23">
        <f t="shared" si="45"/>
        <v>0</v>
      </c>
      <c r="N107" s="15">
        <f t="shared" si="30"/>
        <v>0.999</v>
      </c>
    </row>
    <row r="108" spans="1:14" ht="17.25" x14ac:dyDescent="0.25">
      <c r="A108" s="11"/>
      <c r="B108" s="48" t="s">
        <v>20</v>
      </c>
      <c r="C108" s="26"/>
      <c r="D108" s="29"/>
      <c r="E108" s="46"/>
      <c r="F108" s="23"/>
      <c r="G108" s="27"/>
      <c r="H108" s="27"/>
      <c r="I108" s="27"/>
      <c r="J108" s="23"/>
      <c r="K108" s="27"/>
      <c r="L108" s="27"/>
      <c r="M108" s="27"/>
      <c r="N108" s="15"/>
    </row>
    <row r="109" spans="1:14" ht="66" x14ac:dyDescent="0.25">
      <c r="A109" s="11"/>
      <c r="B109" s="28" t="s">
        <v>194</v>
      </c>
      <c r="C109" s="26">
        <v>804</v>
      </c>
      <c r="D109" s="29" t="s">
        <v>190</v>
      </c>
      <c r="E109" s="11" t="s">
        <v>195</v>
      </c>
      <c r="F109" s="23">
        <f t="shared" ref="F109:F112" si="46">SUM(G109:H109)</f>
        <v>1600</v>
      </c>
      <c r="G109" s="27">
        <v>1600</v>
      </c>
      <c r="H109" s="27"/>
      <c r="I109" s="27"/>
      <c r="J109" s="23">
        <f t="shared" ref="J109:J113" si="47">SUM(K109:L109)</f>
        <v>1600</v>
      </c>
      <c r="K109" s="27">
        <f>5443.98+264.54-4773.32+664.8</f>
        <v>1600</v>
      </c>
      <c r="L109" s="27"/>
      <c r="M109" s="27"/>
      <c r="N109" s="15">
        <f t="shared" si="30"/>
        <v>1</v>
      </c>
    </row>
    <row r="110" spans="1:14" ht="99" x14ac:dyDescent="0.25">
      <c r="A110" s="11"/>
      <c r="B110" s="28" t="s">
        <v>196</v>
      </c>
      <c r="C110" s="26">
        <v>804</v>
      </c>
      <c r="D110" s="29" t="s">
        <v>190</v>
      </c>
      <c r="E110" s="11" t="s">
        <v>197</v>
      </c>
      <c r="F110" s="23">
        <f t="shared" si="46"/>
        <v>9700</v>
      </c>
      <c r="G110" s="27">
        <v>9700</v>
      </c>
      <c r="H110" s="27"/>
      <c r="I110" s="27"/>
      <c r="J110" s="23">
        <f t="shared" si="47"/>
        <v>9700</v>
      </c>
      <c r="K110" s="27">
        <f>7275+2425</f>
        <v>9700</v>
      </c>
      <c r="L110" s="27"/>
      <c r="M110" s="27"/>
      <c r="N110" s="15">
        <f t="shared" si="30"/>
        <v>1</v>
      </c>
    </row>
    <row r="111" spans="1:14" ht="165" x14ac:dyDescent="0.25">
      <c r="A111" s="11"/>
      <c r="B111" s="28" t="s">
        <v>198</v>
      </c>
      <c r="C111" s="26">
        <v>804</v>
      </c>
      <c r="D111" s="29" t="s">
        <v>190</v>
      </c>
      <c r="E111" s="11" t="s">
        <v>199</v>
      </c>
      <c r="F111" s="23">
        <f>G111</f>
        <v>5305.6</v>
      </c>
      <c r="G111" s="27">
        <v>5305.55</v>
      </c>
      <c r="H111" s="27"/>
      <c r="I111" s="27"/>
      <c r="J111" s="23">
        <f t="shared" si="47"/>
        <v>5305.5</v>
      </c>
      <c r="K111" s="27">
        <v>5305.5</v>
      </c>
      <c r="L111" s="27"/>
      <c r="M111" s="27"/>
      <c r="N111" s="15">
        <f t="shared" si="30"/>
        <v>1</v>
      </c>
    </row>
    <row r="112" spans="1:14" ht="82.5" x14ac:dyDescent="0.25">
      <c r="A112" s="11"/>
      <c r="B112" s="28" t="s">
        <v>200</v>
      </c>
      <c r="C112" s="26">
        <v>804</v>
      </c>
      <c r="D112" s="29" t="s">
        <v>190</v>
      </c>
      <c r="E112" s="11" t="s">
        <v>201</v>
      </c>
      <c r="F112" s="23">
        <f t="shared" si="46"/>
        <v>602</v>
      </c>
      <c r="G112" s="27">
        <v>601.98</v>
      </c>
      <c r="H112" s="27"/>
      <c r="I112" s="27"/>
      <c r="J112" s="23">
        <f t="shared" si="47"/>
        <v>588.4</v>
      </c>
      <c r="K112" s="27">
        <f>588.35</f>
        <v>588.4</v>
      </c>
      <c r="L112" s="27"/>
      <c r="M112" s="27"/>
      <c r="N112" s="15">
        <f t="shared" si="30"/>
        <v>0.97699999999999998</v>
      </c>
    </row>
    <row r="113" spans="1:16" ht="181.5" x14ac:dyDescent="0.25">
      <c r="A113" s="11"/>
      <c r="B113" s="28" t="s">
        <v>202</v>
      </c>
      <c r="C113" s="26">
        <v>804</v>
      </c>
      <c r="D113" s="29" t="s">
        <v>190</v>
      </c>
      <c r="E113" s="11" t="s">
        <v>203</v>
      </c>
      <c r="F113" s="23">
        <f>G113</f>
        <v>3896.1</v>
      </c>
      <c r="G113" s="27">
        <f>3791.78+104.34</f>
        <v>3896.1</v>
      </c>
      <c r="H113" s="27"/>
      <c r="I113" s="27"/>
      <c r="J113" s="23">
        <f t="shared" si="47"/>
        <v>3896.1</v>
      </c>
      <c r="K113" s="27">
        <f>3291.78+604.34</f>
        <v>3896.1</v>
      </c>
      <c r="L113" s="27"/>
      <c r="M113" s="27"/>
      <c r="N113" s="15">
        <f t="shared" si="30"/>
        <v>1</v>
      </c>
    </row>
    <row r="114" spans="1:16" ht="33" x14ac:dyDescent="0.25">
      <c r="A114" s="9" t="s">
        <v>204</v>
      </c>
      <c r="B114" s="21" t="s">
        <v>205</v>
      </c>
      <c r="C114" s="22" t="s">
        <v>17</v>
      </c>
      <c r="D114" s="22" t="s">
        <v>17</v>
      </c>
      <c r="E114" s="22" t="s">
        <v>17</v>
      </c>
      <c r="F114" s="23">
        <f>SUM(F116)</f>
        <v>18003.900000000001</v>
      </c>
      <c r="G114" s="23">
        <f t="shared" ref="G114:L114" si="48">SUM(G116)</f>
        <v>18003.900000000001</v>
      </c>
      <c r="H114" s="23">
        <f t="shared" si="48"/>
        <v>0</v>
      </c>
      <c r="I114" s="23">
        <f t="shared" si="48"/>
        <v>0</v>
      </c>
      <c r="J114" s="23">
        <f t="shared" si="48"/>
        <v>16317.1</v>
      </c>
      <c r="K114" s="23">
        <f t="shared" si="48"/>
        <v>16317.1</v>
      </c>
      <c r="L114" s="23">
        <f t="shared" si="48"/>
        <v>0</v>
      </c>
      <c r="M114" s="23">
        <f>M116</f>
        <v>0</v>
      </c>
      <c r="N114" s="15">
        <f t="shared" si="30"/>
        <v>0.90600000000000003</v>
      </c>
    </row>
    <row r="115" spans="1:16" ht="17.25" x14ac:dyDescent="0.25">
      <c r="A115" s="11"/>
      <c r="B115" s="48" t="s">
        <v>20</v>
      </c>
      <c r="C115" s="26"/>
      <c r="D115" s="29"/>
      <c r="E115" s="11"/>
      <c r="F115" s="23"/>
      <c r="G115" s="27"/>
      <c r="H115" s="27"/>
      <c r="I115" s="27"/>
      <c r="J115" s="23"/>
      <c r="K115" s="27"/>
      <c r="L115" s="27"/>
      <c r="M115" s="27"/>
      <c r="N115" s="15"/>
    </row>
    <row r="116" spans="1:16" ht="66" x14ac:dyDescent="0.25">
      <c r="A116" s="11"/>
      <c r="B116" s="28" t="s">
        <v>206</v>
      </c>
      <c r="C116" s="26">
        <v>804</v>
      </c>
      <c r="D116" s="29" t="s">
        <v>190</v>
      </c>
      <c r="E116" s="11" t="s">
        <v>207</v>
      </c>
      <c r="F116" s="23">
        <f>SUM(G116:H116)</f>
        <v>18003.900000000001</v>
      </c>
      <c r="G116" s="27">
        <v>18003.900000000001</v>
      </c>
      <c r="H116" s="27"/>
      <c r="I116" s="27"/>
      <c r="J116" s="23">
        <f>SUM(K116:L116)</f>
        <v>16317.1</v>
      </c>
      <c r="K116" s="27">
        <f>10349.98+121.79+65.26+5564.7+76.39+16.63+122.38</f>
        <v>16317.1</v>
      </c>
      <c r="L116" s="27"/>
      <c r="M116" s="27"/>
      <c r="N116" s="15">
        <f t="shared" si="30"/>
        <v>0.90600000000000003</v>
      </c>
    </row>
    <row r="117" spans="1:16" ht="33" x14ac:dyDescent="0.25">
      <c r="A117" s="16" t="s">
        <v>208</v>
      </c>
      <c r="B117" s="47" t="s">
        <v>209</v>
      </c>
      <c r="C117" s="18" t="s">
        <v>17</v>
      </c>
      <c r="D117" s="18" t="s">
        <v>17</v>
      </c>
      <c r="E117" s="18" t="s">
        <v>17</v>
      </c>
      <c r="F117" s="19">
        <f t="shared" ref="F117:K117" si="49">F118+F122</f>
        <v>1270493.7</v>
      </c>
      <c r="G117" s="19">
        <f t="shared" si="49"/>
        <v>28421.8</v>
      </c>
      <c r="H117" s="19">
        <f t="shared" si="49"/>
        <v>958971</v>
      </c>
      <c r="I117" s="19">
        <f t="shared" si="49"/>
        <v>283100.90000000002</v>
      </c>
      <c r="J117" s="19">
        <f t="shared" si="49"/>
        <v>1220633.3999999999</v>
      </c>
      <c r="K117" s="19">
        <f t="shared" si="49"/>
        <v>27767.9</v>
      </c>
      <c r="L117" s="19">
        <f>L118+L122</f>
        <v>910859</v>
      </c>
      <c r="M117" s="19">
        <f>M118+M122</f>
        <v>282006.5</v>
      </c>
      <c r="N117" s="20">
        <f t="shared" si="30"/>
        <v>0.96099999999999997</v>
      </c>
      <c r="P117" s="5"/>
    </row>
    <row r="118" spans="1:16" ht="33" x14ac:dyDescent="0.25">
      <c r="A118" s="9" t="s">
        <v>210</v>
      </c>
      <c r="B118" s="21" t="s">
        <v>211</v>
      </c>
      <c r="C118" s="22" t="s">
        <v>17</v>
      </c>
      <c r="D118" s="22" t="s">
        <v>17</v>
      </c>
      <c r="E118" s="22" t="s">
        <v>17</v>
      </c>
      <c r="F118" s="23">
        <f>SUM(F120:F121)</f>
        <v>466879.2</v>
      </c>
      <c r="G118" s="23">
        <f t="shared" ref="G118:L118" si="50">SUM(G120:G121)</f>
        <v>12718.1</v>
      </c>
      <c r="H118" s="23">
        <f t="shared" si="50"/>
        <v>451217.8</v>
      </c>
      <c r="I118" s="23">
        <f t="shared" si="50"/>
        <v>2943.3</v>
      </c>
      <c r="J118" s="23">
        <f>SUM(J120:J121)</f>
        <v>425625.7</v>
      </c>
      <c r="K118" s="23">
        <f t="shared" si="50"/>
        <v>12292</v>
      </c>
      <c r="L118" s="23">
        <f t="shared" si="50"/>
        <v>410471.6</v>
      </c>
      <c r="M118" s="23">
        <f>SUM(M120:M121)</f>
        <v>2862.1</v>
      </c>
      <c r="N118" s="15">
        <f t="shared" si="30"/>
        <v>0.91200000000000003</v>
      </c>
    </row>
    <row r="119" spans="1:16" ht="17.25" x14ac:dyDescent="0.25">
      <c r="A119" s="11"/>
      <c r="B119" s="25" t="s">
        <v>20</v>
      </c>
      <c r="C119" s="26"/>
      <c r="D119" s="26"/>
      <c r="E119" s="26"/>
      <c r="F119" s="23"/>
      <c r="G119" s="27"/>
      <c r="H119" s="27"/>
      <c r="I119" s="27"/>
      <c r="J119" s="23"/>
      <c r="K119" s="27"/>
      <c r="L119" s="27"/>
      <c r="M119" s="27"/>
      <c r="N119" s="15"/>
    </row>
    <row r="120" spans="1:16" ht="66" x14ac:dyDescent="0.25">
      <c r="A120" s="11" t="s">
        <v>35</v>
      </c>
      <c r="B120" s="28" t="s">
        <v>212</v>
      </c>
      <c r="C120" s="26">
        <v>821</v>
      </c>
      <c r="D120" s="29" t="s">
        <v>37</v>
      </c>
      <c r="E120" s="26" t="s">
        <v>213</v>
      </c>
      <c r="F120" s="23">
        <f>SUM(G120:H120)+I120</f>
        <v>426879.2</v>
      </c>
      <c r="G120" s="27">
        <f>12764-45.92</f>
        <v>12718.1</v>
      </c>
      <c r="H120" s="27">
        <f>412704-1486.2</f>
        <v>411217.8</v>
      </c>
      <c r="I120" s="27">
        <v>2943.3</v>
      </c>
      <c r="J120" s="23">
        <f>SUM(K120:L120)+M120</f>
        <v>412597.8</v>
      </c>
      <c r="K120" s="27">
        <f>10703.2+1579.85+8.95</f>
        <v>12292</v>
      </c>
      <c r="L120" s="27">
        <f>346072+51082.11+289.55</f>
        <v>397443.7</v>
      </c>
      <c r="M120" s="27">
        <v>2862.1</v>
      </c>
      <c r="N120" s="15">
        <f t="shared" si="30"/>
        <v>0.96699999999999997</v>
      </c>
    </row>
    <row r="121" spans="1:16" ht="82.5" x14ac:dyDescent="0.25">
      <c r="A121" s="11" t="s">
        <v>21</v>
      </c>
      <c r="B121" s="28" t="s">
        <v>214</v>
      </c>
      <c r="C121" s="26">
        <v>821</v>
      </c>
      <c r="D121" s="29" t="s">
        <v>37</v>
      </c>
      <c r="E121" s="26" t="s">
        <v>215</v>
      </c>
      <c r="F121" s="23">
        <f>SUM(G121:H121)</f>
        <v>40000</v>
      </c>
      <c r="G121" s="27"/>
      <c r="H121" s="45">
        <v>40000</v>
      </c>
      <c r="I121" s="45"/>
      <c r="J121" s="23">
        <f>SUM(K121:L121)</f>
        <v>13027.9</v>
      </c>
      <c r="K121" s="27"/>
      <c r="L121" s="27">
        <v>13027.9</v>
      </c>
      <c r="M121" s="27"/>
      <c r="N121" s="15">
        <f t="shared" si="30"/>
        <v>0.32600000000000001</v>
      </c>
    </row>
    <row r="122" spans="1:16" ht="49.5" x14ac:dyDescent="0.25">
      <c r="A122" s="9" t="s">
        <v>216</v>
      </c>
      <c r="B122" s="21" t="s">
        <v>217</v>
      </c>
      <c r="C122" s="22" t="s">
        <v>17</v>
      </c>
      <c r="D122" s="22" t="s">
        <v>17</v>
      </c>
      <c r="E122" s="22" t="s">
        <v>17</v>
      </c>
      <c r="F122" s="23">
        <f t="shared" ref="F122:M122" si="51">SUM(F123:F124)</f>
        <v>803614.5</v>
      </c>
      <c r="G122" s="23">
        <f t="shared" si="51"/>
        <v>15703.7</v>
      </c>
      <c r="H122" s="23">
        <f t="shared" si="51"/>
        <v>507753.2</v>
      </c>
      <c r="I122" s="23">
        <f t="shared" si="51"/>
        <v>280157.59999999998</v>
      </c>
      <c r="J122" s="23">
        <f t="shared" si="51"/>
        <v>795007.7</v>
      </c>
      <c r="K122" s="23">
        <f t="shared" si="51"/>
        <v>15475.9</v>
      </c>
      <c r="L122" s="23">
        <f t="shared" si="51"/>
        <v>500387.4</v>
      </c>
      <c r="M122" s="23">
        <f t="shared" si="51"/>
        <v>279144.40000000002</v>
      </c>
      <c r="N122" s="15">
        <f t="shared" si="30"/>
        <v>0.98899999999999999</v>
      </c>
    </row>
    <row r="123" spans="1:16" ht="82.5" x14ac:dyDescent="0.25">
      <c r="A123" s="9" t="s">
        <v>218</v>
      </c>
      <c r="B123" s="28" t="s">
        <v>219</v>
      </c>
      <c r="C123" s="26">
        <v>821</v>
      </c>
      <c r="D123" s="29" t="s">
        <v>37</v>
      </c>
      <c r="E123" s="26" t="s">
        <v>220</v>
      </c>
      <c r="F123" s="23">
        <f t="shared" ref="F123:F124" si="52">SUM(G123:H123)+I123</f>
        <v>787881.8</v>
      </c>
      <c r="G123" s="27"/>
      <c r="H123" s="27">
        <v>507753.2</v>
      </c>
      <c r="I123" s="27">
        <v>280128.59999999998</v>
      </c>
      <c r="J123" s="23">
        <f t="shared" ref="J123:J124" si="53">SUM(K123:L123)+M123</f>
        <v>779502.8</v>
      </c>
      <c r="K123" s="27"/>
      <c r="L123" s="27">
        <f>22134.4+116970.77+8282.42+40848.97+91749.42+63993.58+12133.05+144274.81</f>
        <v>500387.4</v>
      </c>
      <c r="M123" s="27">
        <v>279115.40000000002</v>
      </c>
      <c r="N123" s="15">
        <f t="shared" si="30"/>
        <v>0.98899999999999999</v>
      </c>
    </row>
    <row r="124" spans="1:16" ht="66" x14ac:dyDescent="0.25">
      <c r="A124" s="11"/>
      <c r="B124" s="28" t="s">
        <v>221</v>
      </c>
      <c r="C124" s="26">
        <v>821</v>
      </c>
      <c r="D124" s="29" t="s">
        <v>37</v>
      </c>
      <c r="E124" s="26" t="s">
        <v>222</v>
      </c>
      <c r="F124" s="23">
        <f t="shared" si="52"/>
        <v>15732.7</v>
      </c>
      <c r="G124" s="27">
        <v>15703.7</v>
      </c>
      <c r="H124" s="27"/>
      <c r="I124" s="27">
        <v>29</v>
      </c>
      <c r="J124" s="23">
        <f t="shared" si="53"/>
        <v>15504.9</v>
      </c>
      <c r="K124" s="27">
        <f>10638.5+415.38+4421.98</f>
        <v>15475.9</v>
      </c>
      <c r="L124" s="27"/>
      <c r="M124" s="27">
        <v>29</v>
      </c>
      <c r="N124" s="15">
        <f t="shared" si="30"/>
        <v>0.98599999999999999</v>
      </c>
    </row>
    <row r="125" spans="1:16" ht="17.25" x14ac:dyDescent="0.25">
      <c r="A125" s="16" t="s">
        <v>223</v>
      </c>
      <c r="B125" s="17" t="s">
        <v>224</v>
      </c>
      <c r="C125" s="18" t="s">
        <v>17</v>
      </c>
      <c r="D125" s="18" t="s">
        <v>17</v>
      </c>
      <c r="E125" s="18" t="s">
        <v>17</v>
      </c>
      <c r="F125" s="19">
        <f>F126+F131+F134+F137</f>
        <v>178066.6</v>
      </c>
      <c r="G125" s="19">
        <f>G126+G131+G134+G137</f>
        <v>37123</v>
      </c>
      <c r="H125" s="19">
        <f>H126+H131+H134+H137</f>
        <v>125409</v>
      </c>
      <c r="I125" s="19">
        <f t="shared" ref="I125:J125" si="54">I126+I131+I134+I137</f>
        <v>15534.6</v>
      </c>
      <c r="J125" s="19">
        <f t="shared" si="54"/>
        <v>148390.39999999999</v>
      </c>
      <c r="K125" s="19">
        <f t="shared" ref="K125:M125" si="55">K126+K131+K134+K137</f>
        <v>21357.8</v>
      </c>
      <c r="L125" s="19">
        <f t="shared" si="55"/>
        <v>116401.3</v>
      </c>
      <c r="M125" s="19">
        <f t="shared" si="55"/>
        <v>10631.3</v>
      </c>
      <c r="N125" s="20">
        <f t="shared" si="30"/>
        <v>0.83299999999999996</v>
      </c>
      <c r="P125" s="5"/>
    </row>
    <row r="126" spans="1:16" ht="33" x14ac:dyDescent="0.25">
      <c r="A126" s="9" t="s">
        <v>225</v>
      </c>
      <c r="B126" s="21" t="s">
        <v>226</v>
      </c>
      <c r="C126" s="22" t="s">
        <v>17</v>
      </c>
      <c r="D126" s="22" t="s">
        <v>17</v>
      </c>
      <c r="E126" s="22" t="s">
        <v>17</v>
      </c>
      <c r="F126" s="23">
        <f>SUM(F128:F130)</f>
        <v>97207.3</v>
      </c>
      <c r="G126" s="23">
        <f t="shared" ref="G126:L126" si="56">SUM(G128:G130)</f>
        <v>137</v>
      </c>
      <c r="H126" s="23">
        <f t="shared" si="56"/>
        <v>97070.3</v>
      </c>
      <c r="I126" s="23">
        <f t="shared" si="56"/>
        <v>0</v>
      </c>
      <c r="J126" s="23">
        <f>SUM(J128:J130)</f>
        <v>97144.3</v>
      </c>
      <c r="K126" s="23">
        <f t="shared" si="56"/>
        <v>137</v>
      </c>
      <c r="L126" s="23">
        <f t="shared" si="56"/>
        <v>97007.3</v>
      </c>
      <c r="M126" s="23">
        <f>SUM(M128:M130)</f>
        <v>0</v>
      </c>
      <c r="N126" s="15">
        <f t="shared" si="30"/>
        <v>0.999</v>
      </c>
    </row>
    <row r="127" spans="1:16" ht="17.25" x14ac:dyDescent="0.25">
      <c r="A127" s="11"/>
      <c r="B127" s="25" t="s">
        <v>20</v>
      </c>
      <c r="C127" s="26"/>
      <c r="D127" s="26"/>
      <c r="E127" s="26"/>
      <c r="F127" s="23"/>
      <c r="G127" s="27"/>
      <c r="H127" s="27"/>
      <c r="I127" s="27"/>
      <c r="J127" s="23"/>
      <c r="K127" s="27"/>
      <c r="L127" s="27"/>
      <c r="M127" s="27"/>
      <c r="N127" s="15"/>
    </row>
    <row r="128" spans="1:16" ht="49.5" x14ac:dyDescent="0.25">
      <c r="A128" s="11" t="s">
        <v>69</v>
      </c>
      <c r="B128" s="49" t="s">
        <v>227</v>
      </c>
      <c r="C128" s="26">
        <v>838</v>
      </c>
      <c r="D128" s="29" t="s">
        <v>228</v>
      </c>
      <c r="E128" s="26" t="s">
        <v>229</v>
      </c>
      <c r="F128" s="23">
        <f t="shared" ref="F128:F130" si="57">SUM(G128:H128)</f>
        <v>4566.2</v>
      </c>
      <c r="G128" s="27">
        <v>137</v>
      </c>
      <c r="H128" s="27">
        <f>4429.2</f>
        <v>4429.2</v>
      </c>
      <c r="I128" s="27"/>
      <c r="J128" s="23">
        <f t="shared" ref="J128:J130" si="58">SUM(K128:L128)</f>
        <v>4566.2</v>
      </c>
      <c r="K128" s="27">
        <v>137</v>
      </c>
      <c r="L128" s="27">
        <v>4429.2</v>
      </c>
      <c r="M128" s="27"/>
      <c r="N128" s="15">
        <f t="shared" si="30"/>
        <v>1</v>
      </c>
    </row>
    <row r="129" spans="1:16" ht="99" x14ac:dyDescent="0.25">
      <c r="A129" s="11" t="s">
        <v>69</v>
      </c>
      <c r="B129" s="28" t="s">
        <v>230</v>
      </c>
      <c r="C129" s="26">
        <v>838</v>
      </c>
      <c r="D129" s="29" t="s">
        <v>228</v>
      </c>
      <c r="E129" s="26" t="s">
        <v>231</v>
      </c>
      <c r="F129" s="23">
        <f t="shared" si="57"/>
        <v>11182.2</v>
      </c>
      <c r="G129" s="27">
        <f>345.8-345.8</f>
        <v>0</v>
      </c>
      <c r="H129" s="27">
        <v>11182.2</v>
      </c>
      <c r="I129" s="27"/>
      <c r="J129" s="23">
        <f t="shared" si="58"/>
        <v>11129.2</v>
      </c>
      <c r="K129" s="27"/>
      <c r="L129" s="27">
        <f>11129.2</f>
        <v>11129.2</v>
      </c>
      <c r="M129" s="27"/>
      <c r="N129" s="15">
        <f t="shared" si="30"/>
        <v>0.995</v>
      </c>
    </row>
    <row r="130" spans="1:16" ht="99" x14ac:dyDescent="0.25">
      <c r="A130" s="11" t="s">
        <v>69</v>
      </c>
      <c r="B130" s="28" t="s">
        <v>232</v>
      </c>
      <c r="C130" s="26">
        <v>838</v>
      </c>
      <c r="D130" s="29" t="s">
        <v>228</v>
      </c>
      <c r="E130" s="26" t="s">
        <v>233</v>
      </c>
      <c r="F130" s="23">
        <f t="shared" si="57"/>
        <v>81458.899999999994</v>
      </c>
      <c r="G130" s="27">
        <f>1413-1413</f>
        <v>0</v>
      </c>
      <c r="H130" s="27">
        <v>81458.899999999994</v>
      </c>
      <c r="I130" s="27"/>
      <c r="J130" s="23">
        <f t="shared" si="58"/>
        <v>81448.899999999994</v>
      </c>
      <c r="K130" s="27"/>
      <c r="L130" s="27">
        <f>81446.1+2.82</f>
        <v>81448.899999999994</v>
      </c>
      <c r="M130" s="27"/>
      <c r="N130" s="15">
        <f t="shared" si="30"/>
        <v>1</v>
      </c>
    </row>
    <row r="131" spans="1:16" ht="33" x14ac:dyDescent="0.25">
      <c r="A131" s="9" t="s">
        <v>234</v>
      </c>
      <c r="B131" s="21" t="s">
        <v>235</v>
      </c>
      <c r="C131" s="22" t="s">
        <v>17</v>
      </c>
      <c r="D131" s="22" t="s">
        <v>17</v>
      </c>
      <c r="E131" s="22" t="s">
        <v>17</v>
      </c>
      <c r="F131" s="23">
        <f>F133</f>
        <v>62138.3</v>
      </c>
      <c r="G131" s="23">
        <f t="shared" ref="G131:L131" si="59">G133</f>
        <v>18265</v>
      </c>
      <c r="H131" s="23">
        <f t="shared" si="59"/>
        <v>28338.7</v>
      </c>
      <c r="I131" s="23">
        <f t="shared" si="59"/>
        <v>15534.6</v>
      </c>
      <c r="J131" s="23">
        <f t="shared" si="59"/>
        <v>42525.2</v>
      </c>
      <c r="K131" s="23">
        <f t="shared" si="59"/>
        <v>12499.9</v>
      </c>
      <c r="L131" s="23">
        <f t="shared" si="59"/>
        <v>19394</v>
      </c>
      <c r="M131" s="23">
        <f>M133</f>
        <v>10631.3</v>
      </c>
      <c r="N131" s="15">
        <f t="shared" si="30"/>
        <v>0.68400000000000005</v>
      </c>
    </row>
    <row r="132" spans="1:16" ht="17.25" x14ac:dyDescent="0.25">
      <c r="A132" s="11"/>
      <c r="B132" s="25" t="s">
        <v>20</v>
      </c>
      <c r="C132" s="26"/>
      <c r="D132" s="26"/>
      <c r="E132" s="26"/>
      <c r="F132" s="23"/>
      <c r="G132" s="27"/>
      <c r="H132" s="27"/>
      <c r="I132" s="27"/>
      <c r="J132" s="23"/>
      <c r="K132" s="27"/>
      <c r="L132" s="27"/>
      <c r="M132" s="27"/>
      <c r="N132" s="15"/>
    </row>
    <row r="133" spans="1:16" ht="99" x14ac:dyDescent="0.25">
      <c r="A133" s="11" t="s">
        <v>35</v>
      </c>
      <c r="B133" s="28" t="s">
        <v>236</v>
      </c>
      <c r="C133" s="26">
        <v>828</v>
      </c>
      <c r="D133" s="29" t="s">
        <v>237</v>
      </c>
      <c r="E133" s="26" t="s">
        <v>238</v>
      </c>
      <c r="F133" s="23">
        <f>SUM(G133:H133)+I133</f>
        <v>62138.3</v>
      </c>
      <c r="G133" s="27">
        <v>18265</v>
      </c>
      <c r="H133" s="27">
        <v>28338.7</v>
      </c>
      <c r="I133" s="27">
        <v>15534.6</v>
      </c>
      <c r="J133" s="23">
        <f>SUM(K133:L133)+M133</f>
        <v>42525.2</v>
      </c>
      <c r="K133" s="27">
        <f>10500.5+1999.43</f>
        <v>12499.9</v>
      </c>
      <c r="L133" s="27">
        <f>16291.8+3102.17</f>
        <v>19394</v>
      </c>
      <c r="M133" s="27">
        <v>10631.3</v>
      </c>
      <c r="N133" s="15">
        <f t="shared" si="30"/>
        <v>0.68400000000000005</v>
      </c>
    </row>
    <row r="134" spans="1:16" ht="72" customHeight="1" x14ac:dyDescent="0.25">
      <c r="A134" s="9" t="s">
        <v>239</v>
      </c>
      <c r="B134" s="21" t="s">
        <v>240</v>
      </c>
      <c r="C134" s="22" t="s">
        <v>17</v>
      </c>
      <c r="D134" s="22" t="s">
        <v>17</v>
      </c>
      <c r="E134" s="22" t="s">
        <v>17</v>
      </c>
      <c r="F134" s="23">
        <f t="shared" ref="F134:L134" si="60">SUM(F136:F136)</f>
        <v>10000</v>
      </c>
      <c r="G134" s="23">
        <f t="shared" si="60"/>
        <v>10000</v>
      </c>
      <c r="H134" s="23">
        <f t="shared" si="60"/>
        <v>0</v>
      </c>
      <c r="I134" s="23">
        <f t="shared" si="60"/>
        <v>0</v>
      </c>
      <c r="J134" s="23">
        <f t="shared" si="60"/>
        <v>0</v>
      </c>
      <c r="K134" s="23">
        <f t="shared" si="60"/>
        <v>0</v>
      </c>
      <c r="L134" s="23">
        <f t="shared" si="60"/>
        <v>0</v>
      </c>
      <c r="M134" s="23">
        <f>M136</f>
        <v>0</v>
      </c>
      <c r="N134" s="15">
        <f t="shared" si="30"/>
        <v>0</v>
      </c>
    </row>
    <row r="135" spans="1:16" ht="17.25" x14ac:dyDescent="0.25">
      <c r="A135" s="11"/>
      <c r="B135" s="25" t="s">
        <v>20</v>
      </c>
      <c r="C135" s="26"/>
      <c r="D135" s="26"/>
      <c r="E135" s="26"/>
      <c r="F135" s="23"/>
      <c r="G135" s="27"/>
      <c r="H135" s="27"/>
      <c r="I135" s="27"/>
      <c r="J135" s="23"/>
      <c r="K135" s="27"/>
      <c r="L135" s="27"/>
      <c r="M135" s="27"/>
      <c r="N135" s="15"/>
    </row>
    <row r="136" spans="1:16" ht="99" x14ac:dyDescent="0.25">
      <c r="A136" s="11"/>
      <c r="B136" s="28" t="s">
        <v>241</v>
      </c>
      <c r="C136" s="26">
        <v>810</v>
      </c>
      <c r="D136" s="29" t="s">
        <v>242</v>
      </c>
      <c r="E136" s="26" t="s">
        <v>243</v>
      </c>
      <c r="F136" s="23">
        <f>SUM(G136:H136)</f>
        <v>10000</v>
      </c>
      <c r="G136" s="27">
        <v>10000</v>
      </c>
      <c r="H136" s="27"/>
      <c r="I136" s="27"/>
      <c r="J136" s="23">
        <f>SUM(K136:L136)</f>
        <v>0</v>
      </c>
      <c r="K136" s="27"/>
      <c r="L136" s="27"/>
      <c r="M136" s="27"/>
      <c r="N136" s="15">
        <f t="shared" si="30"/>
        <v>0</v>
      </c>
    </row>
    <row r="137" spans="1:16" ht="33" x14ac:dyDescent="0.25">
      <c r="A137" s="9" t="s">
        <v>244</v>
      </c>
      <c r="B137" s="21" t="s">
        <v>245</v>
      </c>
      <c r="C137" s="22" t="s">
        <v>17</v>
      </c>
      <c r="D137" s="22" t="s">
        <v>17</v>
      </c>
      <c r="E137" s="22" t="s">
        <v>17</v>
      </c>
      <c r="F137" s="23">
        <f>F139</f>
        <v>8721</v>
      </c>
      <c r="G137" s="23">
        <f t="shared" ref="G137:L137" si="61">G139</f>
        <v>8721</v>
      </c>
      <c r="H137" s="23">
        <f t="shared" si="61"/>
        <v>0</v>
      </c>
      <c r="I137" s="23">
        <f t="shared" si="61"/>
        <v>0</v>
      </c>
      <c r="J137" s="23">
        <f>J139</f>
        <v>8720.9</v>
      </c>
      <c r="K137" s="23">
        <f t="shared" si="61"/>
        <v>8720.9</v>
      </c>
      <c r="L137" s="23">
        <f t="shared" si="61"/>
        <v>0</v>
      </c>
      <c r="M137" s="23">
        <f>M139</f>
        <v>0</v>
      </c>
      <c r="N137" s="15">
        <f t="shared" ref="N137:N183" si="62">J137/F137</f>
        <v>1</v>
      </c>
    </row>
    <row r="138" spans="1:16" ht="24" customHeight="1" x14ac:dyDescent="0.25">
      <c r="A138" s="11"/>
      <c r="B138" s="25" t="s">
        <v>20</v>
      </c>
      <c r="C138" s="26"/>
      <c r="D138" s="26"/>
      <c r="E138" s="26"/>
      <c r="F138" s="23"/>
      <c r="G138" s="27"/>
      <c r="H138" s="27"/>
      <c r="I138" s="27"/>
      <c r="J138" s="23"/>
      <c r="K138" s="27"/>
      <c r="L138" s="27"/>
      <c r="M138" s="27"/>
      <c r="N138" s="15"/>
    </row>
    <row r="139" spans="1:16" ht="99" x14ac:dyDescent="0.25">
      <c r="A139" s="11"/>
      <c r="B139" s="28" t="s">
        <v>246</v>
      </c>
      <c r="C139" s="26">
        <v>810</v>
      </c>
      <c r="D139" s="29" t="s">
        <v>242</v>
      </c>
      <c r="E139" s="26" t="s">
        <v>247</v>
      </c>
      <c r="F139" s="23">
        <f>SUM(G139:H139)</f>
        <v>8721</v>
      </c>
      <c r="G139" s="27">
        <f>9750-1029</f>
        <v>8721</v>
      </c>
      <c r="H139" s="27"/>
      <c r="I139" s="27"/>
      <c r="J139" s="23">
        <f>SUM(K139:L139)</f>
        <v>8720.9</v>
      </c>
      <c r="K139" s="27">
        <f>4256+2488.25+1976.63</f>
        <v>8720.9</v>
      </c>
      <c r="L139" s="27"/>
      <c r="M139" s="27"/>
      <c r="N139" s="15">
        <f t="shared" si="62"/>
        <v>1</v>
      </c>
    </row>
    <row r="140" spans="1:16" ht="33" x14ac:dyDescent="0.25">
      <c r="A140" s="16" t="s">
        <v>248</v>
      </c>
      <c r="B140" s="47" t="s">
        <v>249</v>
      </c>
      <c r="C140" s="18" t="s">
        <v>17</v>
      </c>
      <c r="D140" s="18" t="s">
        <v>17</v>
      </c>
      <c r="E140" s="18" t="s">
        <v>17</v>
      </c>
      <c r="F140" s="19">
        <f>F141</f>
        <v>2613147.2000000002</v>
      </c>
      <c r="G140" s="19">
        <f t="shared" ref="G140:M140" si="63">G141</f>
        <v>523000</v>
      </c>
      <c r="H140" s="19">
        <f t="shared" si="63"/>
        <v>1821268.7</v>
      </c>
      <c r="I140" s="19">
        <f t="shared" si="63"/>
        <v>268878.5</v>
      </c>
      <c r="J140" s="19">
        <f t="shared" si="63"/>
        <v>2609863</v>
      </c>
      <c r="K140" s="19">
        <f t="shared" si="63"/>
        <v>519727.1</v>
      </c>
      <c r="L140" s="19">
        <f t="shared" si="63"/>
        <v>1821268.7</v>
      </c>
      <c r="M140" s="19">
        <f t="shared" si="63"/>
        <v>268867.20000000001</v>
      </c>
      <c r="N140" s="20">
        <f t="shared" si="62"/>
        <v>0.999</v>
      </c>
      <c r="P140" s="5"/>
    </row>
    <row r="141" spans="1:16" ht="33" x14ac:dyDescent="0.25">
      <c r="A141" s="9" t="s">
        <v>250</v>
      </c>
      <c r="B141" s="21" t="s">
        <v>251</v>
      </c>
      <c r="C141" s="22" t="s">
        <v>17</v>
      </c>
      <c r="D141" s="22" t="s">
        <v>17</v>
      </c>
      <c r="E141" s="22" t="s">
        <v>17</v>
      </c>
      <c r="F141" s="23">
        <f>SUM(F143)</f>
        <v>2613147.2000000002</v>
      </c>
      <c r="G141" s="23">
        <f t="shared" ref="G141:I141" si="64">SUM(G143)</f>
        <v>523000</v>
      </c>
      <c r="H141" s="23">
        <f t="shared" si="64"/>
        <v>1821268.7</v>
      </c>
      <c r="I141" s="23">
        <f t="shared" si="64"/>
        <v>268878.5</v>
      </c>
      <c r="J141" s="23">
        <f>SUM(J143)</f>
        <v>2609863</v>
      </c>
      <c r="K141" s="23">
        <f t="shared" ref="K141:L141" si="65">SUM(K143)</f>
        <v>519727.1</v>
      </c>
      <c r="L141" s="23">
        <f t="shared" si="65"/>
        <v>1821268.7</v>
      </c>
      <c r="M141" s="23">
        <f>M143</f>
        <v>268867.20000000001</v>
      </c>
      <c r="N141" s="15">
        <f t="shared" si="62"/>
        <v>0.999</v>
      </c>
    </row>
    <row r="142" spans="1:16" ht="17.25" x14ac:dyDescent="0.25">
      <c r="A142" s="11"/>
      <c r="B142" s="25" t="s">
        <v>20</v>
      </c>
      <c r="C142" s="26"/>
      <c r="D142" s="26"/>
      <c r="E142" s="26"/>
      <c r="F142" s="23"/>
      <c r="G142" s="27"/>
      <c r="H142" s="27"/>
      <c r="I142" s="27"/>
      <c r="J142" s="23"/>
      <c r="K142" s="27"/>
      <c r="L142" s="27"/>
      <c r="M142" s="27"/>
      <c r="N142" s="15"/>
    </row>
    <row r="143" spans="1:16" ht="99" x14ac:dyDescent="0.25">
      <c r="A143" s="11" t="s">
        <v>21</v>
      </c>
      <c r="B143" s="28" t="s">
        <v>252</v>
      </c>
      <c r="C143" s="26">
        <v>822</v>
      </c>
      <c r="D143" s="29" t="s">
        <v>253</v>
      </c>
      <c r="E143" s="26" t="s">
        <v>254</v>
      </c>
      <c r="F143" s="23">
        <f>G143+H143+I143</f>
        <v>2613147.2000000002</v>
      </c>
      <c r="G143" s="27">
        <f>450000+93000-20000</f>
        <v>523000</v>
      </c>
      <c r="H143" s="27">
        <f>1768568.7+52700</f>
        <v>1821268.7</v>
      </c>
      <c r="I143" s="27">
        <v>268878.5</v>
      </c>
      <c r="J143" s="23">
        <f>SUM(K143:L143)+M143</f>
        <v>2609863</v>
      </c>
      <c r="K143" s="27">
        <v>519727.1</v>
      </c>
      <c r="L143" s="27">
        <f>1768568.7+52700</f>
        <v>1821268.7</v>
      </c>
      <c r="M143" s="27">
        <v>268867.20000000001</v>
      </c>
      <c r="N143" s="15">
        <f t="shared" si="62"/>
        <v>0.999</v>
      </c>
    </row>
    <row r="144" spans="1:16" ht="17.25" x14ac:dyDescent="0.25">
      <c r="A144" s="16" t="s">
        <v>255</v>
      </c>
      <c r="B144" s="17" t="s">
        <v>256</v>
      </c>
      <c r="C144" s="18" t="s">
        <v>17</v>
      </c>
      <c r="D144" s="18" t="s">
        <v>17</v>
      </c>
      <c r="E144" s="18" t="s">
        <v>17</v>
      </c>
      <c r="F144" s="19">
        <f>F145+F149+F152</f>
        <v>147869.4</v>
      </c>
      <c r="G144" s="19">
        <f t="shared" ref="G144:M144" si="66">G145+G149+G152</f>
        <v>45752</v>
      </c>
      <c r="H144" s="19">
        <f t="shared" si="66"/>
        <v>86496.9</v>
      </c>
      <c r="I144" s="19">
        <f t="shared" si="66"/>
        <v>15620.5</v>
      </c>
      <c r="J144" s="19">
        <f>J145+J149+J152</f>
        <v>147869.4</v>
      </c>
      <c r="K144" s="19">
        <f t="shared" si="66"/>
        <v>45752</v>
      </c>
      <c r="L144" s="19">
        <f t="shared" si="66"/>
        <v>86496.9</v>
      </c>
      <c r="M144" s="19">
        <f t="shared" si="66"/>
        <v>15620.5</v>
      </c>
      <c r="N144" s="20">
        <f t="shared" si="62"/>
        <v>1</v>
      </c>
      <c r="P144" s="5"/>
    </row>
    <row r="145" spans="1:16" ht="33" x14ac:dyDescent="0.25">
      <c r="A145" s="9" t="s">
        <v>257</v>
      </c>
      <c r="B145" s="21" t="s">
        <v>258</v>
      </c>
      <c r="C145" s="22" t="s">
        <v>17</v>
      </c>
      <c r="D145" s="22" t="s">
        <v>17</v>
      </c>
      <c r="E145" s="22" t="s">
        <v>17</v>
      </c>
      <c r="F145" s="23">
        <f>SUM(F147:F148)</f>
        <v>101346.7</v>
      </c>
      <c r="G145" s="23">
        <f t="shared" ref="G145:K145" si="67">SUM(G147:G148)</f>
        <v>7774.3</v>
      </c>
      <c r="H145" s="23">
        <f t="shared" si="67"/>
        <v>77956.899999999994</v>
      </c>
      <c r="I145" s="23">
        <f t="shared" si="67"/>
        <v>15615.5</v>
      </c>
      <c r="J145" s="23">
        <f>SUM(J147:J148)</f>
        <v>101346.7</v>
      </c>
      <c r="K145" s="23">
        <f t="shared" si="67"/>
        <v>7774.3</v>
      </c>
      <c r="L145" s="23">
        <f>SUM(L147:L148)</f>
        <v>77956.899999999994</v>
      </c>
      <c r="M145" s="23">
        <f>SUM(M147:M148)</f>
        <v>15615.5</v>
      </c>
      <c r="N145" s="15">
        <f t="shared" si="62"/>
        <v>1</v>
      </c>
    </row>
    <row r="146" spans="1:16" ht="17.25" x14ac:dyDescent="0.25">
      <c r="A146" s="11"/>
      <c r="B146" s="25" t="s">
        <v>20</v>
      </c>
      <c r="C146" s="26"/>
      <c r="D146" s="26"/>
      <c r="E146" s="26"/>
      <c r="F146" s="23"/>
      <c r="G146" s="27"/>
      <c r="H146" s="27"/>
      <c r="I146" s="27"/>
      <c r="J146" s="23"/>
      <c r="K146" s="27"/>
      <c r="L146" s="27"/>
      <c r="M146" s="27"/>
      <c r="N146" s="15"/>
    </row>
    <row r="147" spans="1:16" ht="66" x14ac:dyDescent="0.25">
      <c r="A147" s="11" t="s">
        <v>35</v>
      </c>
      <c r="B147" s="28" t="s">
        <v>259</v>
      </c>
      <c r="C147" s="26">
        <v>821</v>
      </c>
      <c r="D147" s="29" t="s">
        <v>37</v>
      </c>
      <c r="E147" s="26" t="s">
        <v>260</v>
      </c>
      <c r="F147" s="23">
        <f t="shared" ref="F147:F148" si="68">G147+H147+I147</f>
        <v>59947</v>
      </c>
      <c r="G147" s="27">
        <v>7774.3</v>
      </c>
      <c r="H147" s="27">
        <v>37956.9</v>
      </c>
      <c r="I147" s="27">
        <v>14215.8</v>
      </c>
      <c r="J147" s="23">
        <f t="shared" ref="J147:J148" si="69">SUM(K147:L147)+M147</f>
        <v>59947</v>
      </c>
      <c r="K147" s="27">
        <f>2620.9+343.91+4809.5</f>
        <v>7774.3</v>
      </c>
      <c r="L147" s="27">
        <f>12796.1+1679.09+23481.69</f>
        <v>37956.9</v>
      </c>
      <c r="M147" s="27">
        <v>14215.8</v>
      </c>
      <c r="N147" s="15">
        <f t="shared" si="62"/>
        <v>1</v>
      </c>
    </row>
    <row r="148" spans="1:16" ht="66" x14ac:dyDescent="0.25">
      <c r="A148" s="11" t="s">
        <v>21</v>
      </c>
      <c r="B148" s="28" t="s">
        <v>261</v>
      </c>
      <c r="C148" s="26">
        <v>814</v>
      </c>
      <c r="D148" s="29" t="s">
        <v>262</v>
      </c>
      <c r="E148" s="26" t="s">
        <v>263</v>
      </c>
      <c r="F148" s="23">
        <f t="shared" si="68"/>
        <v>41399.699999999997</v>
      </c>
      <c r="G148" s="27"/>
      <c r="H148" s="27">
        <v>40000</v>
      </c>
      <c r="I148" s="27">
        <v>1399.7</v>
      </c>
      <c r="J148" s="23">
        <f t="shared" si="69"/>
        <v>41399.699999999997</v>
      </c>
      <c r="K148" s="27"/>
      <c r="L148" s="27">
        <f>35490.8+4469.24+10+30</f>
        <v>40000</v>
      </c>
      <c r="M148" s="27">
        <v>1399.7</v>
      </c>
      <c r="N148" s="15">
        <f t="shared" si="62"/>
        <v>1</v>
      </c>
    </row>
    <row r="149" spans="1:16" ht="33" x14ac:dyDescent="0.25">
      <c r="A149" s="9" t="s">
        <v>264</v>
      </c>
      <c r="B149" s="21" t="s">
        <v>265</v>
      </c>
      <c r="C149" s="22" t="s">
        <v>17</v>
      </c>
      <c r="D149" s="22" t="s">
        <v>17</v>
      </c>
      <c r="E149" s="22" t="s">
        <v>17</v>
      </c>
      <c r="F149" s="23">
        <f>F151</f>
        <v>8545</v>
      </c>
      <c r="G149" s="23">
        <f t="shared" ref="G149:L149" si="70">G151</f>
        <v>0</v>
      </c>
      <c r="H149" s="23">
        <f t="shared" si="70"/>
        <v>8540</v>
      </c>
      <c r="I149" s="23">
        <f t="shared" si="70"/>
        <v>5</v>
      </c>
      <c r="J149" s="23">
        <f>J151</f>
        <v>8545</v>
      </c>
      <c r="K149" s="23">
        <f t="shared" si="70"/>
        <v>0</v>
      </c>
      <c r="L149" s="23">
        <f t="shared" si="70"/>
        <v>8540</v>
      </c>
      <c r="M149" s="23">
        <f>M151</f>
        <v>5</v>
      </c>
      <c r="N149" s="15">
        <f t="shared" si="62"/>
        <v>1</v>
      </c>
    </row>
    <row r="150" spans="1:16" ht="17.25" x14ac:dyDescent="0.25">
      <c r="A150" s="11"/>
      <c r="B150" s="48" t="s">
        <v>20</v>
      </c>
      <c r="C150" s="26"/>
      <c r="D150" s="29"/>
      <c r="E150" s="26"/>
      <c r="F150" s="23"/>
      <c r="G150" s="27"/>
      <c r="H150" s="27"/>
      <c r="I150" s="27"/>
      <c r="J150" s="23"/>
      <c r="K150" s="27"/>
      <c r="L150" s="27"/>
      <c r="M150" s="27"/>
      <c r="N150" s="15"/>
    </row>
    <row r="151" spans="1:16" ht="49.5" x14ac:dyDescent="0.25">
      <c r="A151" s="11" t="s">
        <v>21</v>
      </c>
      <c r="B151" s="28" t="s">
        <v>266</v>
      </c>
      <c r="C151" s="26">
        <v>814</v>
      </c>
      <c r="D151" s="29" t="s">
        <v>262</v>
      </c>
      <c r="E151" s="26" t="s">
        <v>267</v>
      </c>
      <c r="F151" s="23">
        <f>G151+H151+I151</f>
        <v>8545</v>
      </c>
      <c r="G151" s="27"/>
      <c r="H151" s="27">
        <v>8540</v>
      </c>
      <c r="I151" s="27">
        <v>5</v>
      </c>
      <c r="J151" s="23">
        <f>SUM(K151:L151)+M151</f>
        <v>8545</v>
      </c>
      <c r="K151" s="27"/>
      <c r="L151" s="27">
        <v>8540</v>
      </c>
      <c r="M151" s="27">
        <v>5</v>
      </c>
      <c r="N151" s="15">
        <f t="shared" si="62"/>
        <v>1</v>
      </c>
    </row>
    <row r="152" spans="1:16" ht="33" x14ac:dyDescent="0.25">
      <c r="A152" s="9" t="s">
        <v>268</v>
      </c>
      <c r="B152" s="21" t="s">
        <v>269</v>
      </c>
      <c r="C152" s="22" t="s">
        <v>17</v>
      </c>
      <c r="D152" s="22" t="s">
        <v>17</v>
      </c>
      <c r="E152" s="22" t="s">
        <v>17</v>
      </c>
      <c r="F152" s="23">
        <f>SUM(F154:F155)</f>
        <v>37977.699999999997</v>
      </c>
      <c r="G152" s="23">
        <f t="shared" ref="G152:L152" si="71">SUM(G154:G155)</f>
        <v>37977.699999999997</v>
      </c>
      <c r="H152" s="23">
        <f t="shared" si="71"/>
        <v>0</v>
      </c>
      <c r="I152" s="23">
        <f t="shared" si="71"/>
        <v>0</v>
      </c>
      <c r="J152" s="23">
        <f t="shared" si="71"/>
        <v>37977.699999999997</v>
      </c>
      <c r="K152" s="23">
        <f t="shared" si="71"/>
        <v>37977.699999999997</v>
      </c>
      <c r="L152" s="23">
        <f t="shared" si="71"/>
        <v>0</v>
      </c>
      <c r="M152" s="23">
        <f>SUM(M154:M155)</f>
        <v>0</v>
      </c>
      <c r="N152" s="15">
        <f t="shared" si="62"/>
        <v>1</v>
      </c>
    </row>
    <row r="153" spans="1:16" ht="17.25" x14ac:dyDescent="0.25">
      <c r="A153" s="11"/>
      <c r="B153" s="28" t="s">
        <v>20</v>
      </c>
      <c r="C153" s="26"/>
      <c r="D153" s="29"/>
      <c r="E153" s="26"/>
      <c r="F153" s="23"/>
      <c r="G153" s="27"/>
      <c r="H153" s="27"/>
      <c r="I153" s="27"/>
      <c r="J153" s="23"/>
      <c r="K153" s="27"/>
      <c r="L153" s="27"/>
      <c r="M153" s="27"/>
      <c r="N153" s="15"/>
    </row>
    <row r="154" spans="1:16" ht="49.5" x14ac:dyDescent="0.25">
      <c r="A154" s="11"/>
      <c r="B154" s="28" t="s">
        <v>270</v>
      </c>
      <c r="C154" s="26">
        <v>814</v>
      </c>
      <c r="D154" s="29" t="s">
        <v>262</v>
      </c>
      <c r="E154" s="26" t="s">
        <v>271</v>
      </c>
      <c r="F154" s="23">
        <f t="shared" ref="F154:F155" si="72">SUM(G154:H154)</f>
        <v>11658.9</v>
      </c>
      <c r="G154" s="27">
        <v>11658.9</v>
      </c>
      <c r="H154" s="27"/>
      <c r="I154" s="27"/>
      <c r="J154" s="23">
        <f t="shared" ref="J154:J155" si="73">SUM(K154:L154)</f>
        <v>11658.9</v>
      </c>
      <c r="K154" s="27">
        <v>11658.9</v>
      </c>
      <c r="L154" s="27"/>
      <c r="M154" s="27"/>
      <c r="N154" s="15">
        <f t="shared" si="62"/>
        <v>1</v>
      </c>
    </row>
    <row r="155" spans="1:16" ht="66" x14ac:dyDescent="0.25">
      <c r="A155" s="11"/>
      <c r="B155" s="28" t="s">
        <v>272</v>
      </c>
      <c r="C155" s="26">
        <v>814</v>
      </c>
      <c r="D155" s="29" t="s">
        <v>262</v>
      </c>
      <c r="E155" s="26" t="s">
        <v>273</v>
      </c>
      <c r="F155" s="23">
        <f t="shared" si="72"/>
        <v>26318.799999999999</v>
      </c>
      <c r="G155" s="27">
        <f>26500-181.25</f>
        <v>26318.799999999999</v>
      </c>
      <c r="H155" s="27"/>
      <c r="I155" s="27"/>
      <c r="J155" s="23">
        <f t="shared" si="73"/>
        <v>26318.799999999999</v>
      </c>
      <c r="K155" s="27">
        <f>26078.9+239.89</f>
        <v>26318.799999999999</v>
      </c>
      <c r="L155" s="27"/>
      <c r="M155" s="27"/>
      <c r="N155" s="15">
        <f t="shared" si="62"/>
        <v>1</v>
      </c>
    </row>
    <row r="156" spans="1:16" ht="66" x14ac:dyDescent="0.25">
      <c r="A156" s="16" t="s">
        <v>274</v>
      </c>
      <c r="B156" s="47" t="s">
        <v>275</v>
      </c>
      <c r="C156" s="18" t="s">
        <v>17</v>
      </c>
      <c r="D156" s="18" t="s">
        <v>17</v>
      </c>
      <c r="E156" s="18" t="s">
        <v>17</v>
      </c>
      <c r="F156" s="19">
        <f t="shared" ref="F156:M156" si="74">F157+F160+F166+F169</f>
        <v>213819.9</v>
      </c>
      <c r="G156" s="19">
        <f t="shared" si="74"/>
        <v>7645.5</v>
      </c>
      <c r="H156" s="19">
        <f t="shared" si="74"/>
        <v>205631.8</v>
      </c>
      <c r="I156" s="19">
        <f t="shared" si="74"/>
        <v>542.6</v>
      </c>
      <c r="J156" s="19">
        <f t="shared" si="74"/>
        <v>213819.9</v>
      </c>
      <c r="K156" s="19">
        <f t="shared" si="74"/>
        <v>7645.5</v>
      </c>
      <c r="L156" s="19">
        <f t="shared" si="74"/>
        <v>205631.8</v>
      </c>
      <c r="M156" s="19">
        <f t="shared" si="74"/>
        <v>542.6</v>
      </c>
      <c r="N156" s="20">
        <f t="shared" si="62"/>
        <v>1</v>
      </c>
      <c r="P156" s="5"/>
    </row>
    <row r="157" spans="1:16" ht="82.5" x14ac:dyDescent="0.25">
      <c r="A157" s="9" t="s">
        <v>276</v>
      </c>
      <c r="B157" s="21" t="s">
        <v>277</v>
      </c>
      <c r="C157" s="22" t="s">
        <v>17</v>
      </c>
      <c r="D157" s="22" t="s">
        <v>17</v>
      </c>
      <c r="E157" s="22" t="s">
        <v>17</v>
      </c>
      <c r="F157" s="23">
        <f t="shared" ref="F157:M157" si="75">SUM(F159:F159)</f>
        <v>16405.099999999999</v>
      </c>
      <c r="G157" s="23">
        <f t="shared" si="75"/>
        <v>492.2</v>
      </c>
      <c r="H157" s="23">
        <f t="shared" si="75"/>
        <v>15912.9</v>
      </c>
      <c r="I157" s="23">
        <f t="shared" si="75"/>
        <v>0</v>
      </c>
      <c r="J157" s="23">
        <f t="shared" si="75"/>
        <v>16405.099999999999</v>
      </c>
      <c r="K157" s="23">
        <f t="shared" si="75"/>
        <v>492.2</v>
      </c>
      <c r="L157" s="23">
        <f t="shared" si="75"/>
        <v>15912.9</v>
      </c>
      <c r="M157" s="23">
        <f t="shared" si="75"/>
        <v>0</v>
      </c>
      <c r="N157" s="15">
        <f t="shared" si="62"/>
        <v>1</v>
      </c>
    </row>
    <row r="158" spans="1:16" ht="17.25" x14ac:dyDescent="0.25">
      <c r="A158" s="11"/>
      <c r="B158" s="48" t="s">
        <v>20</v>
      </c>
      <c r="C158" s="26"/>
      <c r="D158" s="26"/>
      <c r="E158" s="26"/>
      <c r="F158" s="23"/>
      <c r="G158" s="27"/>
      <c r="H158" s="27"/>
      <c r="I158" s="27"/>
      <c r="J158" s="23"/>
      <c r="K158" s="27"/>
      <c r="L158" s="27"/>
      <c r="M158" s="27"/>
      <c r="N158" s="15"/>
    </row>
    <row r="159" spans="1:16" ht="99" x14ac:dyDescent="0.25">
      <c r="A159" s="11" t="s">
        <v>35</v>
      </c>
      <c r="B159" s="28" t="s">
        <v>278</v>
      </c>
      <c r="C159" s="26">
        <v>840</v>
      </c>
      <c r="D159" s="29" t="s">
        <v>185</v>
      </c>
      <c r="E159" s="26" t="s">
        <v>279</v>
      </c>
      <c r="F159" s="23">
        <f>SUM(G159:H159)</f>
        <v>16405.099999999999</v>
      </c>
      <c r="G159" s="27">
        <v>492.2</v>
      </c>
      <c r="H159" s="27">
        <v>15912.9</v>
      </c>
      <c r="I159" s="27"/>
      <c r="J159" s="23">
        <f>SUM(K159:L159)</f>
        <v>16405.099999999999</v>
      </c>
      <c r="K159" s="27">
        <f>368.8+123.39</f>
        <v>492.2</v>
      </c>
      <c r="L159" s="27">
        <f>11923.3+3989.6</f>
        <v>15912.9</v>
      </c>
      <c r="M159" s="27"/>
      <c r="N159" s="15">
        <f t="shared" si="62"/>
        <v>1</v>
      </c>
    </row>
    <row r="160" spans="1:16" ht="49.5" x14ac:dyDescent="0.25">
      <c r="A160" s="9" t="s">
        <v>280</v>
      </c>
      <c r="B160" s="21" t="s">
        <v>281</v>
      </c>
      <c r="C160" s="22" t="s">
        <v>17</v>
      </c>
      <c r="D160" s="22" t="s">
        <v>17</v>
      </c>
      <c r="E160" s="22" t="s">
        <v>17</v>
      </c>
      <c r="F160" s="23">
        <f>SUM(F162:F165)</f>
        <v>160995.9</v>
      </c>
      <c r="G160" s="23">
        <f t="shared" ref="G160:L160" si="76">SUM(G162:G165)</f>
        <v>4813.6000000000004</v>
      </c>
      <c r="H160" s="23">
        <f t="shared" si="76"/>
        <v>155639.70000000001</v>
      </c>
      <c r="I160" s="23">
        <f t="shared" si="76"/>
        <v>542.6</v>
      </c>
      <c r="J160" s="23">
        <f>SUM(J162:J165)</f>
        <v>160995.9</v>
      </c>
      <c r="K160" s="23">
        <f t="shared" si="76"/>
        <v>4813.6000000000004</v>
      </c>
      <c r="L160" s="23">
        <f t="shared" si="76"/>
        <v>155639.70000000001</v>
      </c>
      <c r="M160" s="23">
        <f>SUM(M162:M165)</f>
        <v>542.6</v>
      </c>
      <c r="N160" s="15">
        <f t="shared" si="62"/>
        <v>1</v>
      </c>
    </row>
    <row r="161" spans="1:16" ht="17.25" x14ac:dyDescent="0.25">
      <c r="A161" s="11"/>
      <c r="B161" s="48" t="s">
        <v>20</v>
      </c>
      <c r="C161" s="26"/>
      <c r="D161" s="26"/>
      <c r="E161" s="26"/>
      <c r="F161" s="23"/>
      <c r="G161" s="27"/>
      <c r="H161" s="27"/>
      <c r="I161" s="27"/>
      <c r="J161" s="23"/>
      <c r="K161" s="27"/>
      <c r="L161" s="27"/>
      <c r="M161" s="27"/>
      <c r="N161" s="15"/>
    </row>
    <row r="162" spans="1:16" ht="99" x14ac:dyDescent="0.25">
      <c r="A162" s="11" t="s">
        <v>35</v>
      </c>
      <c r="B162" s="28" t="s">
        <v>282</v>
      </c>
      <c r="C162" s="26">
        <v>840</v>
      </c>
      <c r="D162" s="29" t="s">
        <v>185</v>
      </c>
      <c r="E162" s="26" t="s">
        <v>283</v>
      </c>
      <c r="F162" s="23">
        <f>SUM(G162:H162)</f>
        <v>114390.3</v>
      </c>
      <c r="G162" s="27">
        <v>3431.7</v>
      </c>
      <c r="H162" s="27">
        <v>110958.6</v>
      </c>
      <c r="I162" s="27"/>
      <c r="J162" s="23">
        <f>SUM(K162:L162)</f>
        <v>114390.3</v>
      </c>
      <c r="K162" s="27">
        <v>3431.7</v>
      </c>
      <c r="L162" s="27">
        <v>110958.6</v>
      </c>
      <c r="M162" s="27"/>
      <c r="N162" s="15">
        <f t="shared" si="62"/>
        <v>1</v>
      </c>
    </row>
    <row r="163" spans="1:16" ht="99" x14ac:dyDescent="0.25">
      <c r="A163" s="11" t="s">
        <v>35</v>
      </c>
      <c r="B163" s="28" t="s">
        <v>284</v>
      </c>
      <c r="C163" s="26">
        <v>840</v>
      </c>
      <c r="D163" s="29" t="s">
        <v>185</v>
      </c>
      <c r="E163" s="26" t="s">
        <v>285</v>
      </c>
      <c r="F163" s="23">
        <f>G163+H163+I163</f>
        <v>10851.9</v>
      </c>
      <c r="G163" s="27">
        <v>309.3</v>
      </c>
      <c r="H163" s="27">
        <f>10000.02-0.02</f>
        <v>10000</v>
      </c>
      <c r="I163" s="27">
        <v>542.6</v>
      </c>
      <c r="J163" s="23">
        <f>SUM(K163:L163)+M163</f>
        <v>10851.9</v>
      </c>
      <c r="K163" s="27">
        <v>309.3</v>
      </c>
      <c r="L163" s="27">
        <v>10000</v>
      </c>
      <c r="M163" s="27">
        <v>542.6</v>
      </c>
      <c r="N163" s="15">
        <f t="shared" si="62"/>
        <v>1</v>
      </c>
    </row>
    <row r="164" spans="1:16" ht="99" x14ac:dyDescent="0.25">
      <c r="A164" s="11" t="s">
        <v>35</v>
      </c>
      <c r="B164" s="28" t="s">
        <v>286</v>
      </c>
      <c r="C164" s="26">
        <v>840</v>
      </c>
      <c r="D164" s="29" t="s">
        <v>185</v>
      </c>
      <c r="E164" s="26" t="s">
        <v>287</v>
      </c>
      <c r="F164" s="23">
        <f t="shared" ref="F164:F165" si="77">SUM(G164:H164)</f>
        <v>7628.9</v>
      </c>
      <c r="G164" s="27">
        <f>228.9-0.02</f>
        <v>228.9</v>
      </c>
      <c r="H164" s="27">
        <v>7400</v>
      </c>
      <c r="I164" s="27"/>
      <c r="J164" s="23">
        <f t="shared" ref="J164:J165" si="78">SUM(K164:L164)</f>
        <v>7628.9</v>
      </c>
      <c r="K164" s="27">
        <v>228.9</v>
      </c>
      <c r="L164" s="27">
        <v>7400</v>
      </c>
      <c r="M164" s="27"/>
      <c r="N164" s="15">
        <f t="shared" si="62"/>
        <v>1</v>
      </c>
    </row>
    <row r="165" spans="1:16" ht="99" x14ac:dyDescent="0.25">
      <c r="A165" s="11" t="s">
        <v>35</v>
      </c>
      <c r="B165" s="28" t="s">
        <v>288</v>
      </c>
      <c r="C165" s="26">
        <v>840</v>
      </c>
      <c r="D165" s="29" t="s">
        <v>185</v>
      </c>
      <c r="E165" s="26" t="s">
        <v>289</v>
      </c>
      <c r="F165" s="23">
        <f t="shared" si="77"/>
        <v>28124.799999999999</v>
      </c>
      <c r="G165" s="27">
        <v>843.7</v>
      </c>
      <c r="H165" s="27">
        <v>27281.1</v>
      </c>
      <c r="I165" s="27"/>
      <c r="J165" s="23">
        <f t="shared" si="78"/>
        <v>28124.799999999999</v>
      </c>
      <c r="K165" s="27">
        <v>843.7</v>
      </c>
      <c r="L165" s="27">
        <v>27281.1</v>
      </c>
      <c r="M165" s="27"/>
      <c r="N165" s="15">
        <f t="shared" si="62"/>
        <v>1</v>
      </c>
    </row>
    <row r="166" spans="1:16" ht="33" x14ac:dyDescent="0.25">
      <c r="A166" s="9" t="s">
        <v>290</v>
      </c>
      <c r="B166" s="21" t="s">
        <v>291</v>
      </c>
      <c r="C166" s="22" t="s">
        <v>17</v>
      </c>
      <c r="D166" s="8" t="s">
        <v>17</v>
      </c>
      <c r="E166" s="22" t="s">
        <v>17</v>
      </c>
      <c r="F166" s="23">
        <f>F168</f>
        <v>9090.4</v>
      </c>
      <c r="G166" s="23">
        <f t="shared" ref="G166:L166" si="79">G168</f>
        <v>272.7</v>
      </c>
      <c r="H166" s="23">
        <f t="shared" si="79"/>
        <v>8817.7000000000007</v>
      </c>
      <c r="I166" s="23">
        <f t="shared" si="79"/>
        <v>0</v>
      </c>
      <c r="J166" s="23">
        <f t="shared" si="79"/>
        <v>9090.4</v>
      </c>
      <c r="K166" s="23">
        <f t="shared" si="79"/>
        <v>272.7</v>
      </c>
      <c r="L166" s="23">
        <f t="shared" si="79"/>
        <v>8817.7000000000007</v>
      </c>
      <c r="M166" s="23">
        <f>M168</f>
        <v>0</v>
      </c>
      <c r="N166" s="15">
        <f t="shared" si="62"/>
        <v>1</v>
      </c>
    </row>
    <row r="167" spans="1:16" ht="17.25" x14ac:dyDescent="0.25">
      <c r="A167" s="11"/>
      <c r="B167" s="48" t="s">
        <v>20</v>
      </c>
      <c r="C167" s="26"/>
      <c r="D167" s="29"/>
      <c r="E167" s="26"/>
      <c r="F167" s="23"/>
      <c r="G167" s="27"/>
      <c r="H167" s="27"/>
      <c r="I167" s="27"/>
      <c r="J167" s="23"/>
      <c r="K167" s="27"/>
      <c r="L167" s="27"/>
      <c r="M167" s="27"/>
      <c r="N167" s="15"/>
    </row>
    <row r="168" spans="1:16" ht="99" x14ac:dyDescent="0.25">
      <c r="A168" s="11" t="s">
        <v>35</v>
      </c>
      <c r="B168" s="28" t="s">
        <v>282</v>
      </c>
      <c r="C168" s="26">
        <v>840</v>
      </c>
      <c r="D168" s="29" t="s">
        <v>185</v>
      </c>
      <c r="E168" s="26" t="s">
        <v>292</v>
      </c>
      <c r="F168" s="23">
        <f>SUM(G168:H168)</f>
        <v>9090.4</v>
      </c>
      <c r="G168" s="27">
        <f>136.4+136.31</f>
        <v>272.7</v>
      </c>
      <c r="H168" s="27">
        <f>4408.9-0.1+4408.9</f>
        <v>8817.7000000000007</v>
      </c>
      <c r="I168" s="27"/>
      <c r="J168" s="23">
        <f>SUM(K168:L168)</f>
        <v>9090.4</v>
      </c>
      <c r="K168" s="27">
        <v>272.7</v>
      </c>
      <c r="L168" s="27">
        <v>8817.7000000000007</v>
      </c>
      <c r="M168" s="27"/>
      <c r="N168" s="15">
        <f t="shared" si="62"/>
        <v>1</v>
      </c>
    </row>
    <row r="169" spans="1:16" ht="49.5" x14ac:dyDescent="0.25">
      <c r="A169" s="9" t="s">
        <v>293</v>
      </c>
      <c r="B169" s="21" t="s">
        <v>294</v>
      </c>
      <c r="C169" s="22" t="s">
        <v>17</v>
      </c>
      <c r="D169" s="8" t="s">
        <v>17</v>
      </c>
      <c r="E169" s="22" t="s">
        <v>17</v>
      </c>
      <c r="F169" s="23">
        <f>SUM(F171:F173)</f>
        <v>27328.5</v>
      </c>
      <c r="G169" s="23">
        <f>SUM(G171:G173)</f>
        <v>2067</v>
      </c>
      <c r="H169" s="23">
        <f>SUM(H171:H173)</f>
        <v>25261.5</v>
      </c>
      <c r="I169" s="23">
        <f>SUM(I171:I173)</f>
        <v>0</v>
      </c>
      <c r="J169" s="23">
        <f>SUM(J171:J173)</f>
        <v>27328.5</v>
      </c>
      <c r="K169" s="23">
        <f>K171+K172+K173</f>
        <v>2067</v>
      </c>
      <c r="L169" s="23">
        <f t="shared" ref="L169:M169" si="80">L171+L172+L173</f>
        <v>25261.5</v>
      </c>
      <c r="M169" s="23">
        <f t="shared" si="80"/>
        <v>0</v>
      </c>
      <c r="N169" s="15">
        <f t="shared" si="62"/>
        <v>1</v>
      </c>
    </row>
    <row r="170" spans="1:16" ht="17.25" x14ac:dyDescent="0.25">
      <c r="A170" s="11"/>
      <c r="B170" s="28" t="s">
        <v>20</v>
      </c>
      <c r="C170" s="26"/>
      <c r="D170" s="29"/>
      <c r="E170" s="26"/>
      <c r="F170" s="23"/>
      <c r="G170" s="27"/>
      <c r="H170" s="27"/>
      <c r="I170" s="27"/>
      <c r="J170" s="23"/>
      <c r="K170" s="27"/>
      <c r="L170" s="27"/>
      <c r="M170" s="27"/>
      <c r="N170" s="15"/>
    </row>
    <row r="171" spans="1:16" ht="82.5" x14ac:dyDescent="0.25">
      <c r="A171" s="11"/>
      <c r="B171" s="28" t="s">
        <v>295</v>
      </c>
      <c r="C171" s="26">
        <v>817</v>
      </c>
      <c r="D171" s="29" t="s">
        <v>296</v>
      </c>
      <c r="E171" s="26" t="s">
        <v>297</v>
      </c>
      <c r="F171" s="23">
        <f t="shared" ref="F171:F173" si="81">SUM(G171:H171)</f>
        <v>24926.799999999999</v>
      </c>
      <c r="G171" s="27">
        <v>747.8</v>
      </c>
      <c r="H171" s="27">
        <v>24179</v>
      </c>
      <c r="I171" s="27"/>
      <c r="J171" s="23">
        <f t="shared" ref="J171:J173" si="82">SUM(K171:L171)</f>
        <v>24926.799999999999</v>
      </c>
      <c r="K171" s="27">
        <v>747.8</v>
      </c>
      <c r="L171" s="27">
        <v>24179</v>
      </c>
      <c r="M171" s="27"/>
      <c r="N171" s="15">
        <f t="shared" si="62"/>
        <v>1</v>
      </c>
    </row>
    <row r="172" spans="1:16" ht="82.5" x14ac:dyDescent="0.25">
      <c r="A172" s="11"/>
      <c r="B172" s="28" t="s">
        <v>298</v>
      </c>
      <c r="C172" s="26">
        <v>817</v>
      </c>
      <c r="D172" s="29" t="s">
        <v>296</v>
      </c>
      <c r="E172" s="26" t="s">
        <v>299</v>
      </c>
      <c r="F172" s="23">
        <f t="shared" si="81"/>
        <v>1116</v>
      </c>
      <c r="G172" s="27">
        <v>33.5</v>
      </c>
      <c r="H172" s="27">
        <v>1082.5</v>
      </c>
      <c r="I172" s="27"/>
      <c r="J172" s="23">
        <f t="shared" si="82"/>
        <v>1116</v>
      </c>
      <c r="K172" s="27">
        <v>33.5</v>
      </c>
      <c r="L172" s="27">
        <f>1082.46</f>
        <v>1082.5</v>
      </c>
      <c r="M172" s="27"/>
      <c r="N172" s="15">
        <f t="shared" si="62"/>
        <v>1</v>
      </c>
    </row>
    <row r="173" spans="1:16" ht="82.5" x14ac:dyDescent="0.25">
      <c r="A173" s="11"/>
      <c r="B173" s="28" t="s">
        <v>298</v>
      </c>
      <c r="C173" s="26">
        <v>817</v>
      </c>
      <c r="D173" s="29" t="s">
        <v>296</v>
      </c>
      <c r="E173" s="11" t="s">
        <v>300</v>
      </c>
      <c r="F173" s="23">
        <f t="shared" si="81"/>
        <v>1285.7</v>
      </c>
      <c r="G173" s="27">
        <v>1285.7</v>
      </c>
      <c r="H173" s="27"/>
      <c r="I173" s="27"/>
      <c r="J173" s="23">
        <f t="shared" si="82"/>
        <v>1285.7</v>
      </c>
      <c r="K173" s="27">
        <f>699.58+586.14</f>
        <v>1285.7</v>
      </c>
      <c r="L173" s="27"/>
      <c r="M173" s="27"/>
      <c r="N173" s="15">
        <f t="shared" si="62"/>
        <v>1</v>
      </c>
    </row>
    <row r="174" spans="1:16" ht="49.5" x14ac:dyDescent="0.25">
      <c r="A174" s="16" t="s">
        <v>301</v>
      </c>
      <c r="B174" s="47" t="s">
        <v>302</v>
      </c>
      <c r="C174" s="18" t="s">
        <v>17</v>
      </c>
      <c r="D174" s="18" t="s">
        <v>17</v>
      </c>
      <c r="E174" s="18" t="s">
        <v>17</v>
      </c>
      <c r="F174" s="19">
        <f t="shared" ref="F174:M174" si="83">F175+F180</f>
        <v>84989.8</v>
      </c>
      <c r="G174" s="19">
        <f t="shared" si="83"/>
        <v>11735.7</v>
      </c>
      <c r="H174" s="19">
        <f t="shared" si="83"/>
        <v>73254.100000000006</v>
      </c>
      <c r="I174" s="19">
        <f t="shared" si="83"/>
        <v>0</v>
      </c>
      <c r="J174" s="19">
        <f t="shared" si="83"/>
        <v>54983.3</v>
      </c>
      <c r="K174" s="19">
        <f t="shared" si="83"/>
        <v>11049.3</v>
      </c>
      <c r="L174" s="19">
        <f t="shared" si="83"/>
        <v>43934</v>
      </c>
      <c r="M174" s="19">
        <f t="shared" si="83"/>
        <v>0</v>
      </c>
      <c r="N174" s="20">
        <f t="shared" si="62"/>
        <v>0.64700000000000002</v>
      </c>
      <c r="P174" s="5"/>
    </row>
    <row r="175" spans="1:16" ht="66" x14ac:dyDescent="0.25">
      <c r="A175" s="9" t="s">
        <v>303</v>
      </c>
      <c r="B175" s="21" t="s">
        <v>304</v>
      </c>
      <c r="C175" s="22" t="s">
        <v>17</v>
      </c>
      <c r="D175" s="22" t="s">
        <v>17</v>
      </c>
      <c r="E175" s="22" t="s">
        <v>17</v>
      </c>
      <c r="F175" s="23">
        <f t="shared" ref="F175:M175" si="84">SUM(F177:F179)</f>
        <v>38275.800000000003</v>
      </c>
      <c r="G175" s="23">
        <f t="shared" si="84"/>
        <v>9400</v>
      </c>
      <c r="H175" s="23">
        <f t="shared" si="84"/>
        <v>28875.8</v>
      </c>
      <c r="I175" s="23">
        <f t="shared" si="84"/>
        <v>0</v>
      </c>
      <c r="J175" s="23">
        <f t="shared" si="84"/>
        <v>21997.8</v>
      </c>
      <c r="K175" s="23">
        <f t="shared" si="84"/>
        <v>9400</v>
      </c>
      <c r="L175" s="23">
        <f t="shared" si="84"/>
        <v>12597.8</v>
      </c>
      <c r="M175" s="23">
        <f t="shared" si="84"/>
        <v>0</v>
      </c>
      <c r="N175" s="15">
        <f t="shared" si="62"/>
        <v>0.57499999999999996</v>
      </c>
    </row>
    <row r="176" spans="1:16" ht="17.25" x14ac:dyDescent="0.25">
      <c r="A176" s="11"/>
      <c r="B176" s="48" t="s">
        <v>20</v>
      </c>
      <c r="C176" s="26"/>
      <c r="D176" s="26"/>
      <c r="E176" s="26"/>
      <c r="F176" s="23"/>
      <c r="G176" s="27"/>
      <c r="H176" s="27"/>
      <c r="I176" s="27"/>
      <c r="J176" s="23"/>
      <c r="K176" s="27"/>
      <c r="L176" s="27"/>
      <c r="M176" s="27"/>
      <c r="N176" s="15"/>
    </row>
    <row r="177" spans="1:14" ht="99" x14ac:dyDescent="0.25">
      <c r="A177" s="11"/>
      <c r="B177" s="28" t="s">
        <v>305</v>
      </c>
      <c r="C177" s="26">
        <v>840</v>
      </c>
      <c r="D177" s="29" t="s">
        <v>185</v>
      </c>
      <c r="E177" s="26" t="s">
        <v>306</v>
      </c>
      <c r="F177" s="23">
        <f t="shared" ref="F177:F179" si="85">SUM(G177:H177)</f>
        <v>26875.8</v>
      </c>
      <c r="G177" s="27">
        <v>2500</v>
      </c>
      <c r="H177" s="27">
        <v>24375.8</v>
      </c>
      <c r="I177" s="27"/>
      <c r="J177" s="23">
        <f t="shared" ref="J177:J179" si="86">SUM(K177:L177)</f>
        <v>10597.8</v>
      </c>
      <c r="K177" s="27">
        <v>2500</v>
      </c>
      <c r="L177" s="27">
        <v>8097.8</v>
      </c>
      <c r="M177" s="27"/>
      <c r="N177" s="15">
        <f t="shared" si="62"/>
        <v>0.39400000000000002</v>
      </c>
    </row>
    <row r="178" spans="1:14" ht="82.5" x14ac:dyDescent="0.25">
      <c r="A178" s="11"/>
      <c r="B178" s="28" t="s">
        <v>305</v>
      </c>
      <c r="C178" s="26">
        <v>816</v>
      </c>
      <c r="D178" s="29" t="s">
        <v>132</v>
      </c>
      <c r="E178" s="26" t="s">
        <v>306</v>
      </c>
      <c r="F178" s="23">
        <f t="shared" si="85"/>
        <v>4500</v>
      </c>
      <c r="G178" s="27"/>
      <c r="H178" s="27">
        <v>4500</v>
      </c>
      <c r="I178" s="27"/>
      <c r="J178" s="23">
        <f t="shared" si="86"/>
        <v>4500</v>
      </c>
      <c r="K178" s="27"/>
      <c r="L178" s="27">
        <v>4500</v>
      </c>
      <c r="M178" s="27"/>
      <c r="N178" s="15">
        <f t="shared" si="62"/>
        <v>1</v>
      </c>
    </row>
    <row r="179" spans="1:14" ht="117" customHeight="1" x14ac:dyDescent="0.25">
      <c r="A179" s="11"/>
      <c r="B179" s="28" t="s">
        <v>307</v>
      </c>
      <c r="C179" s="26">
        <v>816</v>
      </c>
      <c r="D179" s="29" t="s">
        <v>132</v>
      </c>
      <c r="E179" s="26" t="s">
        <v>308</v>
      </c>
      <c r="F179" s="23">
        <f t="shared" si="85"/>
        <v>6900</v>
      </c>
      <c r="G179" s="27">
        <v>6900</v>
      </c>
      <c r="H179" s="27"/>
      <c r="I179" s="27"/>
      <c r="J179" s="23">
        <f t="shared" si="86"/>
        <v>6900</v>
      </c>
      <c r="K179" s="27">
        <f>2079.62+1193.42+2697.24+898.01+31.71</f>
        <v>6900</v>
      </c>
      <c r="L179" s="27"/>
      <c r="M179" s="27"/>
      <c r="N179" s="15">
        <f t="shared" si="62"/>
        <v>1</v>
      </c>
    </row>
    <row r="180" spans="1:14" ht="69.75" customHeight="1" x14ac:dyDescent="0.25">
      <c r="A180" s="50" t="s">
        <v>309</v>
      </c>
      <c r="B180" s="21" t="s">
        <v>310</v>
      </c>
      <c r="C180" s="22" t="s">
        <v>17</v>
      </c>
      <c r="D180" s="22" t="s">
        <v>17</v>
      </c>
      <c r="E180" s="51" t="s">
        <v>17</v>
      </c>
      <c r="F180" s="23">
        <f>SUM(F182:F183)</f>
        <v>46714</v>
      </c>
      <c r="G180" s="23">
        <f t="shared" ref="G180:L180" si="87">SUM(G182:G183)</f>
        <v>2335.6999999999998</v>
      </c>
      <c r="H180" s="23">
        <f t="shared" si="87"/>
        <v>44378.3</v>
      </c>
      <c r="I180" s="23">
        <f t="shared" si="87"/>
        <v>0</v>
      </c>
      <c r="J180" s="23">
        <f>SUM(J182:J183)</f>
        <v>32985.5</v>
      </c>
      <c r="K180" s="23">
        <f t="shared" si="87"/>
        <v>1649.3</v>
      </c>
      <c r="L180" s="23">
        <f t="shared" si="87"/>
        <v>31336.2</v>
      </c>
      <c r="M180" s="23">
        <f>SUM(M182:M183)</f>
        <v>0</v>
      </c>
      <c r="N180" s="15">
        <f t="shared" si="62"/>
        <v>0.70599999999999996</v>
      </c>
    </row>
    <row r="181" spans="1:14" ht="17.25" x14ac:dyDescent="0.25">
      <c r="A181" s="11"/>
      <c r="B181" s="48" t="s">
        <v>20</v>
      </c>
      <c r="C181" s="26"/>
      <c r="D181" s="29"/>
      <c r="E181" s="26"/>
      <c r="F181" s="23"/>
      <c r="G181" s="27"/>
      <c r="H181" s="27"/>
      <c r="I181" s="27"/>
      <c r="J181" s="23"/>
      <c r="K181" s="27"/>
      <c r="L181" s="27"/>
      <c r="M181" s="27"/>
      <c r="N181" s="15"/>
    </row>
    <row r="182" spans="1:14" ht="66" x14ac:dyDescent="0.25">
      <c r="A182" s="11" t="s">
        <v>21</v>
      </c>
      <c r="B182" s="28" t="s">
        <v>311</v>
      </c>
      <c r="C182" s="26">
        <v>839</v>
      </c>
      <c r="D182" s="29" t="s">
        <v>23</v>
      </c>
      <c r="E182" s="26" t="s">
        <v>312</v>
      </c>
      <c r="F182" s="23">
        <f t="shared" ref="F182:F183" si="88">SUM(G182:H182)</f>
        <v>7367.2</v>
      </c>
      <c r="G182" s="27">
        <f>956.3-587.9</f>
        <v>368.4</v>
      </c>
      <c r="H182" s="27">
        <f>18168.5-11169.7</f>
        <v>6998.8</v>
      </c>
      <c r="I182" s="27"/>
      <c r="J182" s="23">
        <f t="shared" ref="J182:J183" si="89">SUM(K182:L182)</f>
        <v>2895.6</v>
      </c>
      <c r="K182" s="27">
        <f>135.3+9.45</f>
        <v>144.80000000000001</v>
      </c>
      <c r="L182" s="27">
        <v>2750.8</v>
      </c>
      <c r="M182" s="27"/>
      <c r="N182" s="15">
        <f t="shared" si="62"/>
        <v>0.39300000000000002</v>
      </c>
    </row>
    <row r="183" spans="1:14" ht="115.5" x14ac:dyDescent="0.25">
      <c r="A183" s="11" t="s">
        <v>21</v>
      </c>
      <c r="B183" s="28" t="s">
        <v>313</v>
      </c>
      <c r="C183" s="26">
        <v>839</v>
      </c>
      <c r="D183" s="29" t="s">
        <v>23</v>
      </c>
      <c r="E183" s="26" t="s">
        <v>314</v>
      </c>
      <c r="F183" s="23">
        <f t="shared" si="88"/>
        <v>39346.800000000003</v>
      </c>
      <c r="G183" s="27">
        <f>1379.4+587.9</f>
        <v>1967.3</v>
      </c>
      <c r="H183" s="27">
        <f>26209.8+11169.7</f>
        <v>37379.5</v>
      </c>
      <c r="I183" s="27"/>
      <c r="J183" s="23">
        <f t="shared" si="89"/>
        <v>30089.9</v>
      </c>
      <c r="K183" s="27">
        <f>1096.7+247.63+160.14</f>
        <v>1504.5</v>
      </c>
      <c r="L183" s="27">
        <f>8551.5+4566.24+585.21+1707.87+5426.9+4705.03+3042.67</f>
        <v>28585.4</v>
      </c>
      <c r="M183" s="27"/>
      <c r="N183" s="15">
        <f t="shared" si="62"/>
        <v>0.76500000000000001</v>
      </c>
    </row>
    <row r="184" spans="1:14" x14ac:dyDescent="0.25">
      <c r="A184" s="52"/>
      <c r="B184" s="53" t="s">
        <v>315</v>
      </c>
      <c r="C184" s="52"/>
      <c r="D184" s="52"/>
      <c r="E184" s="52"/>
      <c r="F184" s="52"/>
      <c r="G184" s="52"/>
      <c r="H184" s="52"/>
      <c r="I184" s="52"/>
      <c r="J184" s="52"/>
      <c r="K184" s="52"/>
      <c r="L184" s="52"/>
      <c r="M184" s="52"/>
    </row>
    <row r="185" spans="1:14" x14ac:dyDescent="0.25">
      <c r="A185" s="52"/>
      <c r="B185" s="53" t="s">
        <v>316</v>
      </c>
      <c r="C185" s="52"/>
      <c r="D185" s="52"/>
      <c r="E185" s="52"/>
      <c r="F185" s="52"/>
      <c r="G185" s="52"/>
      <c r="H185" s="52"/>
      <c r="I185" s="52"/>
      <c r="J185" s="52"/>
      <c r="K185" s="52"/>
      <c r="L185" s="52"/>
      <c r="M185" s="52"/>
    </row>
    <row r="189" spans="1:14" x14ac:dyDescent="0.25">
      <c r="F189" s="5"/>
      <c r="G189" s="5"/>
      <c r="H189" s="5"/>
      <c r="I189" s="5"/>
      <c r="J189" s="5"/>
      <c r="K189" s="5"/>
      <c r="L189" s="5"/>
      <c r="M189" s="5"/>
    </row>
    <row r="192" spans="1:14" ht="22.15" customHeight="1" x14ac:dyDescent="0.25"/>
    <row r="193" ht="22.15" customHeight="1" x14ac:dyDescent="0.25"/>
    <row r="194" ht="22.15" customHeight="1" x14ac:dyDescent="0.25"/>
    <row r="195" ht="22.15" customHeight="1" x14ac:dyDescent="0.25"/>
    <row r="196" ht="21" customHeight="1" x14ac:dyDescent="0.25"/>
    <row r="197" ht="21" customHeight="1" x14ac:dyDescent="0.25"/>
    <row r="198" ht="21" customHeight="1" x14ac:dyDescent="0.25"/>
    <row r="199" ht="21" customHeight="1" x14ac:dyDescent="0.25"/>
    <row r="200" ht="17.45" customHeight="1" x14ac:dyDescent="0.25"/>
    <row r="201" ht="16.149999999999999" customHeight="1" x14ac:dyDescent="0.25"/>
    <row r="202" ht="17.45" customHeight="1" x14ac:dyDescent="0.25"/>
    <row r="203" ht="20.45" customHeight="1" x14ac:dyDescent="0.25"/>
    <row r="204" ht="16.149999999999999" customHeight="1" x14ac:dyDescent="0.25"/>
    <row r="205" ht="17.45" customHeight="1" x14ac:dyDescent="0.25"/>
    <row r="206" ht="17.45" customHeight="1" x14ac:dyDescent="0.25"/>
  </sheetData>
  <autoFilter ref="C1:C185" xr:uid="{00000000-0001-0000-0000-000000000000}"/>
  <customSheetViews>
    <customSheetView guid="{BAAD0889-191A-44A0-BA65-6A6E655C1D0D}" scale="83" showAutoFilter="1" topLeftCell="A67">
      <selection activeCell="K74" sqref="K74"/>
      <pageMargins left="0" right="0" top="0" bottom="0" header="0.31496062992125984" footer="0.31496062992125984"/>
      <pageSetup paperSize="9" scale="72" orientation="landscape" horizontalDpi="180" verticalDpi="180"/>
      <autoFilter ref="C1:C185" xr:uid="{AC5514DA-FE10-427A-B9D3-EDB765DB76DC}"/>
    </customSheetView>
    <customSheetView guid="{967CB3D1-DF47-4293-9AC9-9958E25585CB}" scale="70" showAutoFilter="1" hiddenColumns="1" topLeftCell="A153">
      <selection activeCell="O164" sqref="O164"/>
      <pageMargins left="0" right="0" top="0" bottom="0" header="0.31496062992125984" footer="0.31496062992125984"/>
      <pageSetup paperSize="9" scale="72" orientation="landscape" horizontalDpi="180" verticalDpi="180"/>
      <autoFilter ref="C1:C185" xr:uid="{00000000-0009-0000-0000-000000000000}"/>
    </customSheetView>
  </customSheetViews>
  <mergeCells count="11">
    <mergeCell ref="A13:A14"/>
    <mergeCell ref="A1:N2"/>
    <mergeCell ref="A4:A6"/>
    <mergeCell ref="B4:B6"/>
    <mergeCell ref="C4:C6"/>
    <mergeCell ref="D4:D6"/>
    <mergeCell ref="E4:E6"/>
    <mergeCell ref="F4:M4"/>
    <mergeCell ref="N4:N6"/>
    <mergeCell ref="F5:I5"/>
    <mergeCell ref="J5:M5"/>
  </mergeCells>
  <pageMargins left="0" right="0" top="0" bottom="0" header="0.31496062992125984" footer="0.31496062992125984"/>
  <pageSetup paperSize="9" scale="72" orientation="landscape" horizontalDpi="180" verticalDpi="18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0"/>
  <sheetViews>
    <sheetView workbookViewId="0">
      <selection activeCell="J9" sqref="J9"/>
    </sheetView>
  </sheetViews>
  <sheetFormatPr defaultColWidth="8.85546875" defaultRowHeight="15" x14ac:dyDescent="0.25"/>
  <cols>
    <col min="1" max="1" width="6.42578125" style="1" customWidth="1"/>
    <col min="2" max="2" width="49" style="2" customWidth="1"/>
    <col min="3" max="3" width="7.7109375" style="1" customWidth="1"/>
    <col min="4" max="4" width="21.5703125" style="1" customWidth="1"/>
    <col min="5" max="5" width="21.28515625" style="1" customWidth="1"/>
    <col min="6" max="6" width="15.5703125" style="1" customWidth="1"/>
    <col min="7" max="7" width="15.28515625" style="1" customWidth="1"/>
    <col min="8" max="8" width="16.7109375" style="1" customWidth="1"/>
    <col min="9" max="9" width="14.28515625" style="1" customWidth="1"/>
    <col min="10" max="10" width="17" style="1" customWidth="1"/>
    <col min="11" max="11" width="18" style="1" customWidth="1"/>
    <col min="12" max="12" width="12" style="1" customWidth="1"/>
    <col min="13" max="13" width="11" style="1" bestFit="1" customWidth="1"/>
    <col min="14" max="14" width="12" style="1" bestFit="1" customWidth="1"/>
    <col min="15" max="16" width="11" style="1" bestFit="1" customWidth="1"/>
    <col min="17" max="16384" width="8.85546875" style="1"/>
  </cols>
  <sheetData>
    <row r="1" spans="1:16" ht="15" customHeight="1" x14ac:dyDescent="0.25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6" ht="37.5" customHeight="1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6" x14ac:dyDescent="0.25">
      <c r="E3" s="3"/>
      <c r="F3" s="4"/>
      <c r="G3" s="5"/>
      <c r="H3" s="5"/>
      <c r="J3" s="5"/>
      <c r="K3" s="6"/>
    </row>
    <row r="4" spans="1:16" ht="16.5" x14ac:dyDescent="0.25">
      <c r="A4" s="62" t="s">
        <v>1</v>
      </c>
      <c r="B4" s="65" t="s">
        <v>2</v>
      </c>
      <c r="C4" s="62" t="s">
        <v>3</v>
      </c>
      <c r="D4" s="62" t="s">
        <v>4</v>
      </c>
      <c r="E4" s="62" t="s">
        <v>5</v>
      </c>
      <c r="F4" s="70" t="s">
        <v>6</v>
      </c>
      <c r="G4" s="71"/>
      <c r="H4" s="71"/>
      <c r="I4" s="71"/>
      <c r="J4" s="71"/>
      <c r="K4" s="71"/>
      <c r="L4" s="62" t="s">
        <v>7</v>
      </c>
    </row>
    <row r="5" spans="1:16" ht="16.5" customHeight="1" x14ac:dyDescent="0.25">
      <c r="A5" s="63"/>
      <c r="B5" s="66"/>
      <c r="C5" s="63"/>
      <c r="D5" s="63"/>
      <c r="E5" s="68"/>
      <c r="F5" s="70" t="s">
        <v>8</v>
      </c>
      <c r="G5" s="71"/>
      <c r="H5" s="71"/>
      <c r="I5" s="70" t="s">
        <v>9</v>
      </c>
      <c r="J5" s="71"/>
      <c r="K5" s="71"/>
      <c r="L5" s="63"/>
    </row>
    <row r="6" spans="1:16" ht="71.45" customHeight="1" x14ac:dyDescent="0.25">
      <c r="A6" s="64"/>
      <c r="B6" s="67"/>
      <c r="C6" s="64"/>
      <c r="D6" s="64"/>
      <c r="E6" s="69"/>
      <c r="F6" s="8" t="s">
        <v>10</v>
      </c>
      <c r="G6" s="8" t="s">
        <v>11</v>
      </c>
      <c r="H6" s="8" t="s">
        <v>12</v>
      </c>
      <c r="I6" s="8" t="s">
        <v>10</v>
      </c>
      <c r="J6" s="8" t="s">
        <v>11</v>
      </c>
      <c r="K6" s="8" t="s">
        <v>12</v>
      </c>
      <c r="L6" s="64"/>
    </row>
    <row r="7" spans="1:16" ht="16.5" x14ac:dyDescent="0.25">
      <c r="A7" s="9" t="s">
        <v>14</v>
      </c>
      <c r="B7" s="10">
        <v>2</v>
      </c>
      <c r="C7" s="7">
        <v>3</v>
      </c>
      <c r="D7" s="7">
        <v>4</v>
      </c>
      <c r="E7" s="7">
        <v>5</v>
      </c>
      <c r="F7" s="8">
        <v>6</v>
      </c>
      <c r="G7" s="8">
        <v>7</v>
      </c>
      <c r="H7" s="8">
        <v>8</v>
      </c>
      <c r="I7" s="8">
        <v>10</v>
      </c>
      <c r="J7" s="8">
        <v>11</v>
      </c>
      <c r="K7" s="8">
        <v>12</v>
      </c>
      <c r="L7" s="8">
        <v>14</v>
      </c>
    </row>
    <row r="8" spans="1:16" ht="17.25" x14ac:dyDescent="0.25">
      <c r="A8" s="11"/>
      <c r="B8" s="12" t="s">
        <v>15</v>
      </c>
      <c r="C8" s="7"/>
      <c r="D8" s="7"/>
      <c r="E8" s="7"/>
      <c r="F8" s="13">
        <f t="shared" ref="F8:F18" si="0">SUM(G8:H8)</f>
        <v>10353054</v>
      </c>
      <c r="G8" s="14">
        <f>Лист1!G8</f>
        <v>3643493.9</v>
      </c>
      <c r="H8" s="14">
        <f>Лист1!H8</f>
        <v>6709560.0999999996</v>
      </c>
      <c r="I8" s="14">
        <f t="shared" ref="I8:I18" si="1">SUM(J8:K8)</f>
        <v>9629010.9000000004</v>
      </c>
      <c r="J8" s="14">
        <f>Лист1!K8</f>
        <v>3492567</v>
      </c>
      <c r="K8" s="14">
        <f>Лист1!L8</f>
        <v>6136443.9000000004</v>
      </c>
      <c r="L8" s="15">
        <f t="shared" ref="L8:L18" si="2">I8/F8</f>
        <v>0.93</v>
      </c>
      <c r="M8" s="5">
        <f t="shared" ref="M8:M9" si="3">J8/I8*100</f>
        <v>36.299999999999997</v>
      </c>
      <c r="N8" s="5">
        <f t="shared" ref="N8:N18" si="4">K8/I8*100</f>
        <v>63.7</v>
      </c>
      <c r="O8" s="5"/>
      <c r="P8" s="54"/>
    </row>
    <row r="9" spans="1:16" ht="16.5" x14ac:dyDescent="0.25">
      <c r="A9" s="16">
        <v>1</v>
      </c>
      <c r="B9" s="17" t="s">
        <v>16</v>
      </c>
      <c r="C9" s="18" t="s">
        <v>17</v>
      </c>
      <c r="D9" s="18" t="s">
        <v>17</v>
      </c>
      <c r="E9" s="18" t="s">
        <v>17</v>
      </c>
      <c r="F9" s="19">
        <f t="shared" si="0"/>
        <v>2995615.6</v>
      </c>
      <c r="G9" s="19">
        <f>Лист1!G9</f>
        <v>1563011.2</v>
      </c>
      <c r="H9" s="19">
        <f>Лист1!H9</f>
        <v>1432604.4</v>
      </c>
      <c r="I9" s="19">
        <f t="shared" si="1"/>
        <v>2605167.2000000002</v>
      </c>
      <c r="J9" s="19">
        <f>Лист1!K9</f>
        <v>1458920.4</v>
      </c>
      <c r="K9" s="19">
        <f>Лист1!L9</f>
        <v>1146246.8</v>
      </c>
      <c r="L9" s="55">
        <f t="shared" si="2"/>
        <v>0.87</v>
      </c>
      <c r="M9" s="56">
        <f t="shared" si="3"/>
        <v>56</v>
      </c>
      <c r="N9" s="56">
        <f t="shared" si="4"/>
        <v>44</v>
      </c>
      <c r="O9" s="5"/>
      <c r="P9" s="54"/>
    </row>
    <row r="10" spans="1:16" ht="16.5" x14ac:dyDescent="0.25">
      <c r="A10" s="35" t="s">
        <v>78</v>
      </c>
      <c r="B10" s="36" t="s">
        <v>79</v>
      </c>
      <c r="C10" s="37" t="s">
        <v>17</v>
      </c>
      <c r="D10" s="37" t="s">
        <v>17</v>
      </c>
      <c r="E10" s="37" t="s">
        <v>17</v>
      </c>
      <c r="F10" s="38">
        <f t="shared" si="0"/>
        <v>1216123.5</v>
      </c>
      <c r="G10" s="38">
        <f>Лист1!G40</f>
        <v>266674</v>
      </c>
      <c r="H10" s="38">
        <f>Лист1!H40</f>
        <v>949449.5</v>
      </c>
      <c r="I10" s="38">
        <f t="shared" si="1"/>
        <v>1090774</v>
      </c>
      <c r="J10" s="38">
        <f>Лист1!K40</f>
        <v>245338.9</v>
      </c>
      <c r="K10" s="38">
        <f>Лист1!L40</f>
        <v>845435.1</v>
      </c>
      <c r="L10" s="57">
        <f t="shared" si="2"/>
        <v>0.89700000000000002</v>
      </c>
      <c r="M10" s="5">
        <f t="shared" ref="M10:M18" si="5">J10/I10*100</f>
        <v>22.5</v>
      </c>
      <c r="N10" s="5">
        <f t="shared" si="4"/>
        <v>77.5</v>
      </c>
      <c r="O10" s="5"/>
      <c r="P10" s="54"/>
    </row>
    <row r="11" spans="1:16" ht="16.5" x14ac:dyDescent="0.25">
      <c r="A11" s="16" t="s">
        <v>116</v>
      </c>
      <c r="B11" s="17" t="s">
        <v>117</v>
      </c>
      <c r="C11" s="18" t="s">
        <v>17</v>
      </c>
      <c r="D11" s="18" t="s">
        <v>17</v>
      </c>
      <c r="E11" s="18" t="s">
        <v>17</v>
      </c>
      <c r="F11" s="19">
        <f t="shared" si="0"/>
        <v>2110769.2999999998</v>
      </c>
      <c r="G11" s="19">
        <f>Лист1!G64</f>
        <v>1054294.6000000001</v>
      </c>
      <c r="H11" s="19">
        <f>Лист1!H64</f>
        <v>1056474.7</v>
      </c>
      <c r="I11" s="19">
        <f t="shared" si="1"/>
        <v>2011061.3</v>
      </c>
      <c r="J11" s="19">
        <f>Лист1!K64</f>
        <v>1050891</v>
      </c>
      <c r="K11" s="19">
        <f>Лист1!L64</f>
        <v>960170.3</v>
      </c>
      <c r="L11" s="55">
        <f t="shared" si="2"/>
        <v>0.95299999999999996</v>
      </c>
      <c r="M11" s="56">
        <f t="shared" si="5"/>
        <v>52.3</v>
      </c>
      <c r="N11" s="56">
        <f t="shared" si="4"/>
        <v>47.7</v>
      </c>
      <c r="O11" s="5"/>
      <c r="P11" s="54"/>
    </row>
    <row r="12" spans="1:16" ht="33" x14ac:dyDescent="0.25">
      <c r="A12" s="16" t="s">
        <v>172</v>
      </c>
      <c r="B12" s="47" t="s">
        <v>173</v>
      </c>
      <c r="C12" s="18" t="s">
        <v>17</v>
      </c>
      <c r="D12" s="18" t="s">
        <v>17</v>
      </c>
      <c r="E12" s="18" t="s">
        <v>17</v>
      </c>
      <c r="F12" s="19">
        <f t="shared" si="0"/>
        <v>105836.1</v>
      </c>
      <c r="G12" s="19">
        <f>Лист1!G96</f>
        <v>105836.1</v>
      </c>
      <c r="H12" s="19">
        <f>Лист1!H96</f>
        <v>0</v>
      </c>
      <c r="I12" s="19">
        <f t="shared" si="1"/>
        <v>104117.1</v>
      </c>
      <c r="J12" s="19">
        <f>Лист1!K96</f>
        <v>104117.1</v>
      </c>
      <c r="K12" s="19">
        <f>Лист1!L96</f>
        <v>0</v>
      </c>
      <c r="L12" s="55">
        <f t="shared" si="2"/>
        <v>0.98399999999999999</v>
      </c>
      <c r="M12" s="5">
        <f t="shared" si="5"/>
        <v>100</v>
      </c>
      <c r="N12" s="5">
        <f t="shared" si="4"/>
        <v>0</v>
      </c>
      <c r="O12" s="5"/>
      <c r="P12" s="54"/>
    </row>
    <row r="13" spans="1:16" ht="33" x14ac:dyDescent="0.25">
      <c r="A13" s="16" t="s">
        <v>208</v>
      </c>
      <c r="B13" s="47" t="s">
        <v>209</v>
      </c>
      <c r="C13" s="18" t="s">
        <v>17</v>
      </c>
      <c r="D13" s="18" t="s">
        <v>17</v>
      </c>
      <c r="E13" s="18" t="s">
        <v>17</v>
      </c>
      <c r="F13" s="19">
        <f t="shared" si="0"/>
        <v>987392.8</v>
      </c>
      <c r="G13" s="19">
        <f>Лист1!G117</f>
        <v>28421.8</v>
      </c>
      <c r="H13" s="19">
        <f>Лист1!H117</f>
        <v>958971</v>
      </c>
      <c r="I13" s="19">
        <f t="shared" si="1"/>
        <v>938626.9</v>
      </c>
      <c r="J13" s="19">
        <f>Лист1!K117</f>
        <v>27767.9</v>
      </c>
      <c r="K13" s="19">
        <f>Лист1!L117</f>
        <v>910859</v>
      </c>
      <c r="L13" s="55">
        <f t="shared" si="2"/>
        <v>0.95099999999999996</v>
      </c>
      <c r="M13" s="58">
        <f t="shared" si="5"/>
        <v>3</v>
      </c>
      <c r="N13" s="58">
        <f t="shared" si="4"/>
        <v>97</v>
      </c>
      <c r="O13" s="5"/>
      <c r="P13" s="54"/>
    </row>
    <row r="14" spans="1:16" ht="16.5" x14ac:dyDescent="0.25">
      <c r="A14" s="16" t="s">
        <v>223</v>
      </c>
      <c r="B14" s="17" t="s">
        <v>224</v>
      </c>
      <c r="C14" s="18" t="s">
        <v>17</v>
      </c>
      <c r="D14" s="18" t="s">
        <v>17</v>
      </c>
      <c r="E14" s="18" t="s">
        <v>17</v>
      </c>
      <c r="F14" s="19">
        <f t="shared" si="0"/>
        <v>162532</v>
      </c>
      <c r="G14" s="19">
        <f>Лист1!G125</f>
        <v>37123</v>
      </c>
      <c r="H14" s="19">
        <f>Лист1!H125</f>
        <v>125409</v>
      </c>
      <c r="I14" s="19">
        <f t="shared" si="1"/>
        <v>137759.1</v>
      </c>
      <c r="J14" s="19">
        <f>Лист1!K125</f>
        <v>21357.8</v>
      </c>
      <c r="K14" s="19">
        <f>Лист1!L125</f>
        <v>116401.3</v>
      </c>
      <c r="L14" s="55">
        <f t="shared" si="2"/>
        <v>0.84799999999999998</v>
      </c>
      <c r="M14" s="5">
        <f t="shared" si="5"/>
        <v>15.5</v>
      </c>
      <c r="N14" s="5">
        <f t="shared" si="4"/>
        <v>84.5</v>
      </c>
      <c r="O14" s="5"/>
      <c r="P14" s="54"/>
    </row>
    <row r="15" spans="1:16" ht="33" x14ac:dyDescent="0.25">
      <c r="A15" s="16" t="s">
        <v>248</v>
      </c>
      <c r="B15" s="47" t="s">
        <v>249</v>
      </c>
      <c r="C15" s="18" t="s">
        <v>17</v>
      </c>
      <c r="D15" s="18" t="s">
        <v>17</v>
      </c>
      <c r="E15" s="18" t="s">
        <v>17</v>
      </c>
      <c r="F15" s="19">
        <f t="shared" si="0"/>
        <v>2344268.7000000002</v>
      </c>
      <c r="G15" s="19">
        <f>Лист1!G140</f>
        <v>523000</v>
      </c>
      <c r="H15" s="19">
        <f>Лист1!H140</f>
        <v>1821268.7</v>
      </c>
      <c r="I15" s="19">
        <f t="shared" si="1"/>
        <v>2340995.7999999998</v>
      </c>
      <c r="J15" s="19">
        <f>Лист1!K140</f>
        <v>519727.1</v>
      </c>
      <c r="K15" s="19">
        <f>Лист1!L140</f>
        <v>1821268.7</v>
      </c>
      <c r="L15" s="55">
        <f t="shared" si="2"/>
        <v>0.999</v>
      </c>
      <c r="M15" s="5">
        <f t="shared" si="5"/>
        <v>22.2</v>
      </c>
      <c r="N15" s="5">
        <f t="shared" si="4"/>
        <v>77.8</v>
      </c>
      <c r="O15" s="5"/>
      <c r="P15" s="54"/>
    </row>
    <row r="16" spans="1:16" ht="16.5" x14ac:dyDescent="0.25">
      <c r="A16" s="16" t="s">
        <v>255</v>
      </c>
      <c r="B16" s="17" t="s">
        <v>256</v>
      </c>
      <c r="C16" s="18" t="s">
        <v>17</v>
      </c>
      <c r="D16" s="18" t="s">
        <v>17</v>
      </c>
      <c r="E16" s="18" t="s">
        <v>17</v>
      </c>
      <c r="F16" s="19">
        <f t="shared" si="0"/>
        <v>132248.9</v>
      </c>
      <c r="G16" s="19">
        <f>Лист1!G144</f>
        <v>45752</v>
      </c>
      <c r="H16" s="19">
        <f>Лист1!H144</f>
        <v>86496.9</v>
      </c>
      <c r="I16" s="19">
        <f t="shared" si="1"/>
        <v>132248.9</v>
      </c>
      <c r="J16" s="19">
        <f>Лист1!K144</f>
        <v>45752</v>
      </c>
      <c r="K16" s="19">
        <f>Лист1!L144</f>
        <v>86496.9</v>
      </c>
      <c r="L16" s="55">
        <f t="shared" si="2"/>
        <v>1</v>
      </c>
      <c r="M16" s="5">
        <f t="shared" si="5"/>
        <v>34.6</v>
      </c>
      <c r="N16" s="5">
        <f t="shared" si="4"/>
        <v>65.400000000000006</v>
      </c>
      <c r="O16" s="5"/>
      <c r="P16" s="54"/>
    </row>
    <row r="17" spans="1:16" ht="66" x14ac:dyDescent="0.25">
      <c r="A17" s="16" t="s">
        <v>274</v>
      </c>
      <c r="B17" s="47" t="s">
        <v>275</v>
      </c>
      <c r="C17" s="18" t="s">
        <v>17</v>
      </c>
      <c r="D17" s="18" t="s">
        <v>17</v>
      </c>
      <c r="E17" s="18" t="s">
        <v>17</v>
      </c>
      <c r="F17" s="19">
        <f t="shared" si="0"/>
        <v>213277.3</v>
      </c>
      <c r="G17" s="19">
        <f>Лист1!G156</f>
        <v>7645.5</v>
      </c>
      <c r="H17" s="19">
        <f>Лист1!H156</f>
        <v>205631.8</v>
      </c>
      <c r="I17" s="19">
        <f t="shared" si="1"/>
        <v>213277.3</v>
      </c>
      <c r="J17" s="19">
        <f>Лист1!K156</f>
        <v>7645.5</v>
      </c>
      <c r="K17" s="19">
        <f>Лист1!L156</f>
        <v>205631.8</v>
      </c>
      <c r="L17" s="55">
        <f t="shared" si="2"/>
        <v>1</v>
      </c>
      <c r="M17" s="58">
        <f t="shared" si="5"/>
        <v>3.6</v>
      </c>
      <c r="N17" s="58">
        <f t="shared" si="4"/>
        <v>96.4</v>
      </c>
      <c r="O17" s="5"/>
      <c r="P17" s="54"/>
    </row>
    <row r="18" spans="1:16" ht="49.5" x14ac:dyDescent="0.25">
      <c r="A18" s="16" t="s">
        <v>301</v>
      </c>
      <c r="B18" s="47" t="s">
        <v>302</v>
      </c>
      <c r="C18" s="18" t="s">
        <v>17</v>
      </c>
      <c r="D18" s="18" t="s">
        <v>17</v>
      </c>
      <c r="E18" s="18" t="s">
        <v>17</v>
      </c>
      <c r="F18" s="19">
        <f t="shared" si="0"/>
        <v>84989.8</v>
      </c>
      <c r="G18" s="19">
        <f>Лист1!G174</f>
        <v>11735.7</v>
      </c>
      <c r="H18" s="19">
        <f>Лист1!H174</f>
        <v>73254.100000000006</v>
      </c>
      <c r="I18" s="19">
        <f t="shared" si="1"/>
        <v>54983.3</v>
      </c>
      <c r="J18" s="19">
        <f>Лист1!K174</f>
        <v>11049.3</v>
      </c>
      <c r="K18" s="19">
        <f>Лист1!L174</f>
        <v>43934</v>
      </c>
      <c r="L18" s="55">
        <f t="shared" si="2"/>
        <v>0.64700000000000002</v>
      </c>
      <c r="M18" s="5">
        <f t="shared" si="5"/>
        <v>20.100000000000001</v>
      </c>
      <c r="N18" s="5">
        <f t="shared" si="4"/>
        <v>79.900000000000006</v>
      </c>
      <c r="O18" s="5"/>
      <c r="P18" s="54"/>
    </row>
    <row r="20" spans="1:16" x14ac:dyDescent="0.25">
      <c r="F20" s="5"/>
      <c r="G20" s="5"/>
      <c r="H20" s="5"/>
      <c r="I20" s="5"/>
      <c r="J20" s="5"/>
      <c r="K20" s="5"/>
    </row>
  </sheetData>
  <customSheetViews>
    <customSheetView guid="{BAAD0889-191A-44A0-BA65-6A6E655C1D0D}">
      <selection activeCell="J9" sqref="J9"/>
      <pageMargins left="0.7" right="0.7" top="0.75" bottom="0.75" header="0.3" footer="0.3"/>
      <pageSetup paperSize="9" orientation="portrait"/>
    </customSheetView>
    <customSheetView guid="{967CB3D1-DF47-4293-9AC9-9958E25585CB}">
      <selection activeCell="J9" sqref="J9"/>
      <pageMargins left="0.7" right="0.7" top="0.75" bottom="0.75" header="0.3" footer="0.3"/>
      <pageSetup paperSize="9" orientation="portrait"/>
    </customSheetView>
  </customSheetViews>
  <mergeCells count="10">
    <mergeCell ref="A1:L2"/>
    <mergeCell ref="A4:A6"/>
    <mergeCell ref="B4:B6"/>
    <mergeCell ref="C4:C6"/>
    <mergeCell ref="D4:D6"/>
    <mergeCell ref="E4:E6"/>
    <mergeCell ref="F4:K4"/>
    <mergeCell ref="L4:L6"/>
    <mergeCell ref="F5:H5"/>
    <mergeCell ref="I5:K5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Приставка Виктория Николаевна (pvn)</cp:lastModifiedBy>
  <cp:revision>1</cp:revision>
  <dcterms:created xsi:type="dcterms:W3CDTF">2006-09-28T05:33:49Z</dcterms:created>
  <dcterms:modified xsi:type="dcterms:W3CDTF">2025-03-04T07:20:37Z</dcterms:modified>
</cp:coreProperties>
</file>