
<file path=[Content_Types].xml><?xml version="1.0" encoding="utf-8"?>
<Types xmlns="http://schemas.openxmlformats.org/package/2006/content-types">
  <Override PartName="/xl/revisions/revisionLog1121.xml" ContentType="application/vnd.openxmlformats-officedocument.spreadsheetml.revisionLog+xml"/>
  <Override PartName="/xl/revisions/revisionLog1141.xml" ContentType="application/vnd.openxmlformats-officedocument.spreadsheetml.revisionLog+xml"/>
  <Override PartName="/xl/revisions/revisionLog118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101.xml" ContentType="application/vnd.openxmlformats-officedocument.spreadsheetml.revisionLog+xml"/>
  <Override PartName="/xl/revisions/revisionLog116.xml" ContentType="application/vnd.openxmlformats-officedocument.spreadsheetml.revisionLog+xml"/>
  <Override PartName="/xl/revisions/revisionLog152111.xml" ContentType="application/vnd.openxmlformats-officedocument.spreadsheetml.revisionLog+xml"/>
  <Default Extension="rels" ContentType="application/vnd.openxmlformats-package.relationships+xml"/>
  <Override PartName="/xl/revisions/revisionLog18.xml" ContentType="application/vnd.openxmlformats-officedocument.spreadsheetml.revisionLog+xml"/>
  <Override PartName="/xl/revisions/revisionLog181.xml" ContentType="application/vnd.openxmlformats-officedocument.spreadsheetml.revisionLog+xml"/>
  <Override PartName="/xl/revisions/revisionLog161.xml" ContentType="application/vnd.openxmlformats-officedocument.spreadsheetml.revisionLog+xml"/>
  <Override PartName="/xl/revisions/revisionLog152.xml" ContentType="application/vnd.openxmlformats-officedocument.spreadsheetml.revisionLog+xml"/>
  <Override PartName="/xl/revisions/revisionLog114.xml" ContentType="application/vnd.openxmlformats-officedocument.spreadsheetml.revisionLog+xml"/>
  <Override PartName="/xl/revisions/revisionLog1911.xml" ContentType="application/vnd.openxmlformats-officedocument.spreadsheetml.revisionLog+xml"/>
  <Override PartName="/xl/revisions/revisionLog11211.xml" ContentType="application/vnd.openxmlformats-officedocument.spreadsheetml.revisionLog+xml"/>
  <Override PartName="/xl/revisions/revisionLog110111.xml" ContentType="application/vnd.openxmlformats-officedocument.spreadsheetml.revisionLog+xml"/>
  <Default Extension="xml" ContentType="application/xml"/>
  <Override PartName="/xl/revisions/revisionLog16.xml" ContentType="application/vnd.openxmlformats-officedocument.spreadsheetml.revisionLog+xml"/>
  <Override PartName="/xl/revisions/revisionLog112.xml" ContentType="application/vnd.openxmlformats-officedocument.spreadsheetml.revisionLog+xml"/>
  <Override PartName="/xl/revisions/revisionLog112111.xml" ContentType="application/vnd.openxmlformats-officedocument.spreadsheetml.revisionLog+xml"/>
  <Override PartName="/xl/worksheets/sheet2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4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10.xml" ContentType="application/vnd.openxmlformats-officedocument.spreadsheetml.revisionLog+xml"/>
  <Override PartName="/xl/revisions/revisionLog18111.xml" ContentType="application/vnd.openxmlformats-officedocument.spreadsheetml.revisionLog+xml"/>
  <Override PartName="/xl/revisions/revisionLog17111.xml" ContentType="application/vnd.openxmlformats-officedocument.spreadsheetml.revisionLog+xml"/>
  <Override PartName="/xl/revisions/revisionLog113111.xml" ContentType="application/vnd.openxmlformats-officedocument.spreadsheetml.revisionLog+xml"/>
  <Override PartName="/xl/revisions/revisionLog11011.xml" ContentType="application/vnd.openxmlformats-officedocument.spreadsheetml.revisionLog+xml"/>
  <Override PartName="/xl/revisions/revisionLog1151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1311.xml" ContentType="application/vnd.openxmlformats-officedocument.spreadsheetml.revisionLog+xml"/>
  <Override PartName="/xl/revisions/revisionLog1521.xml" ContentType="application/vnd.openxmlformats-officedocument.spreadsheetml.revisionLog+xml"/>
  <Override PartName="/xl/revisions/revisionLog15211.xml" ContentType="application/vnd.openxmlformats-officedocument.spreadsheetml.revisionLog+xml"/>
  <Override PartName="/xl/revisions/revisionLog19111.xml" ContentType="application/vnd.openxmlformats-officedocument.spreadsheetml.revisionLog+xml"/>
  <Override PartName="/xl/revisions/revisionLog114111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xl/revisions/revisionLog1131111.xml" ContentType="application/vnd.openxmlformats-officedocument.spreadsheetml.revisionLog+xml"/>
  <Override PartName="/xl/revisions/revisionLog181111.xml" ContentType="application/vnd.openxmlformats-officedocument.spreadsheetml.revisionLog+xml"/>
  <Override PartName="/xl/revisions/revisionLog191111.xml" ContentType="application/vnd.openxmlformats-officedocument.spreadsheetml.revisionLog+xml"/>
  <Override PartName="/docProps/core.xml" ContentType="application/vnd.openxmlformats-package.core-properties+xml"/>
  <Override PartName="/xl/revisions/revisionLog1811.xml" ContentType="application/vnd.openxmlformats-officedocument.spreadsheetml.revisionLog+xml"/>
  <Override PartName="/xl/revisions/revisionLog1311.xml" ContentType="application/vnd.openxmlformats-officedocument.spreadsheetml.revisionLog+xml"/>
  <Override PartName="/xl/revisions/revisionLog1151.xml" ContentType="application/vnd.openxmlformats-officedocument.spreadsheetml.revisionLog+xml"/>
  <Override PartName="/xl/revisions/revisionLog1171.xml" ContentType="application/vnd.openxmlformats-officedocument.spreadsheetml.revisionLog+xml"/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131.xml" ContentType="application/vnd.openxmlformats-officedocument.spreadsheetml.revisionLog+xml"/>
  <Override PartName="/xl/revisions/revisionLog1141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91.xml" ContentType="application/vnd.openxmlformats-officedocument.spreadsheetml.revisionLog+xml"/>
  <Override PartName="/xl/revisions/revisionLog117.xml" ContentType="application/vnd.openxmlformats-officedocument.spreadsheetml.revisionLog+xml"/>
  <Override PartName="/xl/revisions/revisionLog151.xml" ContentType="application/vnd.openxmlformats-officedocument.spreadsheetml.revisionLog+xml"/>
  <Override PartName="/xl/revisions/revisionLog171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115.xml" ContentType="application/vnd.openxmlformats-officedocument.spreadsheetml.revisionLog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7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13.xml" ContentType="application/vnd.openxmlformats-officedocument.spreadsheetml.revisionLog+xml"/>
  <Override PartName="/xl/revisions/revisionLog122.xml" ContentType="application/vnd.openxmlformats-officedocument.spreadsheetml.revisionLog+xml"/>
  <Override PartName="/xl/revisions/revisionLog1711.xml" ContentType="application/vnd.openxmlformats-officedocument.spreadsheetml.revisionLog+xml"/>
  <Override PartName="/xl/revisions/revisionLog122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5" yWindow="45" windowWidth="16890" windowHeight="12885"/>
  </bookViews>
  <sheets>
    <sheet name="Лист1" sheetId="1" r:id="rId1"/>
    <sheet name="Лист2" sheetId="2" r:id="rId2"/>
  </sheets>
  <definedNames>
    <definedName name="_xlnm._FilterDatabase" localSheetId="0" hidden="1">Лист1!$E$12:$E$217</definedName>
    <definedName name="Z_235DFFC8_6F08_4EDB_A56F_6D1F006DDE70_.wvu.Cols" localSheetId="1" hidden="1">Лист2!$F:$G</definedName>
    <definedName name="Z_235DFFC8_6F08_4EDB_A56F_6D1F006DDE70_.wvu.FilterData" localSheetId="0" hidden="1">Лист1!$E$12:$E$217</definedName>
    <definedName name="Z_235DFFC8_6F08_4EDB_A56F_6D1F006DDE70_.wvu.PrintArea" localSheetId="0" hidden="1">Лист1!$A$1:$V$217</definedName>
    <definedName name="Z_235DFFC8_6F08_4EDB_A56F_6D1F006DDE70_.wvu.PrintArea" localSheetId="1" hidden="1">Лист2!$A$1:$O$19</definedName>
    <definedName name="Z_235DFFC8_6F08_4EDB_A56F_6D1F006DDE70_.wvu.PrintTitles" localSheetId="0" hidden="1">Лист1!$4:$7</definedName>
    <definedName name="Z_3027241F_6A93_44E3_83E2_FE914EE69D26_.wvu.FilterData" localSheetId="0" hidden="1">Лист1!$E$12:$E$217</definedName>
    <definedName name="Z_3F747095_E3CC_4B9E_A53F_3B01C7125B7E_.wvu.FilterData" localSheetId="0" hidden="1">Лист1!$E$12:$E$217</definedName>
    <definedName name="Z_8DBC8541_9868_41A7_9A9F_A27FC80CBA37_.wvu.Cols" localSheetId="1" hidden="1">Лист2!$F:$G</definedName>
    <definedName name="Z_8DBC8541_9868_41A7_9A9F_A27FC80CBA37_.wvu.FilterData" localSheetId="0" hidden="1">Лист1!$E$12:$E$217</definedName>
    <definedName name="Z_8DBC8541_9868_41A7_9A9F_A27FC80CBA37_.wvu.PrintArea" localSheetId="0" hidden="1">Лист1!$A$1:$V$217</definedName>
    <definedName name="Z_8DBC8541_9868_41A7_9A9F_A27FC80CBA37_.wvu.PrintArea" localSheetId="1" hidden="1">Лист2!$A$1:$O$19</definedName>
    <definedName name="Z_8DBC8541_9868_41A7_9A9F_A27FC80CBA37_.wvu.PrintTitles" localSheetId="0" hidden="1">Лист1!$4:$7</definedName>
    <definedName name="Z_907E1368_767E_4452_9DC4_AA65522B98D6_.wvu.FilterData" localSheetId="0" hidden="1">Лист1!$E$12:$E$217</definedName>
    <definedName name="Z_93EA31E7_8B3D_4C73_8B82_ECC92251AB38_.wvu.Cols" localSheetId="1" hidden="1">Лист2!$F:$G</definedName>
    <definedName name="Z_93EA31E7_8B3D_4C73_8B82_ECC92251AB38_.wvu.FilterData" localSheetId="0" hidden="1">Лист1!$E$12:$E$217</definedName>
    <definedName name="Z_93EA31E7_8B3D_4C73_8B82_ECC92251AB38_.wvu.PrintArea" localSheetId="0" hidden="1">Лист1!$A$1:$V$217</definedName>
    <definedName name="Z_93EA31E7_8B3D_4C73_8B82_ECC92251AB38_.wvu.PrintArea" localSheetId="1" hidden="1">Лист2!$A$1:$O$19</definedName>
    <definedName name="Z_93EA31E7_8B3D_4C73_8B82_ECC92251AB38_.wvu.PrintTitles" localSheetId="0" hidden="1">Лист1!$4:$7</definedName>
    <definedName name="Z_B9542FD4_B35D_4FBF_9CFC_EED299928791_.wvu.FilterData" localSheetId="0" hidden="1">Лист1!$E$12:$E$217</definedName>
    <definedName name="Z_C3184F73_54AF_4F22_946A_A08664393BAF_.wvu.Cols" localSheetId="1" hidden="1">Лист2!$F:$G</definedName>
    <definedName name="Z_C3184F73_54AF_4F22_946A_A08664393BAF_.wvu.FilterData" localSheetId="0" hidden="1">Лист1!$E$12:$E$217</definedName>
    <definedName name="Z_C3184F73_54AF_4F22_946A_A08664393BAF_.wvu.PrintArea" localSheetId="0" hidden="1">Лист1!$A$1:$V$217</definedName>
    <definedName name="Z_C3184F73_54AF_4F22_946A_A08664393BAF_.wvu.PrintArea" localSheetId="1" hidden="1">Лист2!$A$1:$O$19</definedName>
    <definedName name="Z_C3184F73_54AF_4F22_946A_A08664393BAF_.wvu.PrintTitles" localSheetId="0" hidden="1">Лист1!$4:$7</definedName>
    <definedName name="Z_CFE875CB_1045_45F7_825E_02100661E885_.wvu.Cols" localSheetId="1" hidden="1">Лист2!$F:$G</definedName>
    <definedName name="Z_CFE875CB_1045_45F7_825E_02100661E885_.wvu.FilterData" localSheetId="0" hidden="1">Лист1!$A$7:$V$220</definedName>
    <definedName name="Z_CFE875CB_1045_45F7_825E_02100661E885_.wvu.PrintArea" localSheetId="0" hidden="1">Лист1!$A$1:$V$217</definedName>
    <definedName name="Z_CFE875CB_1045_45F7_825E_02100661E885_.wvu.PrintArea" localSheetId="1" hidden="1">Лист2!$A$1:$O$19</definedName>
    <definedName name="Z_CFE875CB_1045_45F7_825E_02100661E885_.wvu.PrintTitles" localSheetId="0" hidden="1">Лист1!$4:$7</definedName>
    <definedName name="Z_F6FA4751_5470_442B_8CE2_1DF7C5920E7E_.wvu.Cols" localSheetId="1" hidden="1">Лист2!$F:$G</definedName>
    <definedName name="Z_F6FA4751_5470_442B_8CE2_1DF7C5920E7E_.wvu.FilterData" localSheetId="0" hidden="1">Лист1!$E$12:$E$217</definedName>
    <definedName name="Z_F6FA4751_5470_442B_8CE2_1DF7C5920E7E_.wvu.PrintArea" localSheetId="0" hidden="1">Лист1!$A$1:$V$217</definedName>
    <definedName name="Z_F6FA4751_5470_442B_8CE2_1DF7C5920E7E_.wvu.PrintArea" localSheetId="1" hidden="1">Лист2!$A$1:$O$19</definedName>
    <definedName name="Z_F6FA4751_5470_442B_8CE2_1DF7C5920E7E_.wvu.PrintTitles" localSheetId="0" hidden="1">Лист1!$4:$7</definedName>
    <definedName name="Z_FE09AB06_1ECE_4486_BCA1_E9D85830708B_.wvu.Cols" localSheetId="1" hidden="1">Лист2!$F:$G</definedName>
    <definedName name="Z_FE09AB06_1ECE_4486_BCA1_E9D85830708B_.wvu.FilterData" localSheetId="0" hidden="1">Лист1!$E$12:$E$217</definedName>
    <definedName name="Z_FE09AB06_1ECE_4486_BCA1_E9D85830708B_.wvu.PrintArea" localSheetId="0" hidden="1">Лист1!$A$1:$V$217</definedName>
    <definedName name="Z_FE09AB06_1ECE_4486_BCA1_E9D85830708B_.wvu.PrintArea" localSheetId="1" hidden="1">Лист2!$A$1:$O$19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Лист1!$A$1:$V$217</definedName>
    <definedName name="_xlnm.Print_Area" localSheetId="1">Лист2!$A$1:$O$19</definedName>
  </definedNames>
  <calcPr calcId="125725" fullPrecision="0"/>
  <customWorkbookViews>
    <customWorkbookView name="pvn - Личное представление" guid="{F6FA4751-5470-442B-8CE2-1DF7C5920E7E}" mergeInterval="0" personalView="1" maximized="1" xWindow="1" yWindow="1" windowWidth="1916" windowHeight="846" activeSheetId="1"/>
    <customWorkbookView name="bys - Личное представление" guid="{235DFFC8-6F08-4EDB-A56F-6D1F006DDE70}" mergeInterval="0" personalView="1" maximized="1" xWindow="1" yWindow="1" windowWidth="1916" windowHeight="846" activeSheetId="1"/>
    <customWorkbookView name="yoa - Личное представление" guid="{93EA31E7-8B3D-4C73-8B82-ECC92251AB38}" mergeInterval="0" personalView="1" maximized="1" xWindow="1" yWindow="1" windowWidth="1916" windowHeight="802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nma - Личное представление" guid="{FE09AB06-1ECE-4486-BCA1-E9D85830708B}" mergeInterval="0" personalView="1" maximized="1" xWindow="1" yWindow="1" windowWidth="1916" windowHeight="850" activeSheetId="1"/>
    <customWorkbookView name="slv - Личное представление" guid="{C3184F73-54AF-4F22-946A-A08664393BAF}" mergeInterval="0" personalView="1" maximized="1" xWindow="1" yWindow="1" windowWidth="1916" windowHeight="846" activeSheetId="1" showComments="commIndAndComment"/>
    <customWorkbookView name="gmp - Личное представление" guid="{8DBC8541-9868-41A7-9A9F-A27FC80CBA37}" mergeInterval="0" personalView="1" maximized="1" xWindow="1" yWindow="1" windowWidth="1916" windowHeight="845" activeSheetId="1"/>
  </customWorkbookViews>
</workbook>
</file>

<file path=xl/calcChain.xml><?xml version="1.0" encoding="utf-8"?>
<calcChain xmlns="http://schemas.openxmlformats.org/spreadsheetml/2006/main">
  <c r="F53" i="1"/>
  <c r="V53" s="1"/>
  <c r="J53"/>
  <c r="N53"/>
  <c r="R53"/>
  <c r="T46"/>
  <c r="U46"/>
  <c r="S46"/>
  <c r="P46"/>
  <c r="Q46"/>
  <c r="O46"/>
  <c r="L46"/>
  <c r="M46"/>
  <c r="K46"/>
  <c r="H46"/>
  <c r="I46"/>
  <c r="G46"/>
  <c r="U104"/>
  <c r="T104"/>
  <c r="S104"/>
  <c r="Q104"/>
  <c r="P104"/>
  <c r="O104"/>
  <c r="M104"/>
  <c r="L104"/>
  <c r="K104"/>
  <c r="G104"/>
  <c r="I104"/>
  <c r="H104"/>
  <c r="R107"/>
  <c r="N107"/>
  <c r="J107"/>
  <c r="F107"/>
  <c r="N208"/>
  <c r="N207"/>
  <c r="J208"/>
  <c r="J207"/>
  <c r="F208"/>
  <c r="F207"/>
  <c r="G148"/>
  <c r="R145"/>
  <c r="N145"/>
  <c r="J145"/>
  <c r="U143"/>
  <c r="T143"/>
  <c r="S143"/>
  <c r="Q143"/>
  <c r="P143"/>
  <c r="O143"/>
  <c r="M143"/>
  <c r="L143"/>
  <c r="K143"/>
  <c r="G143"/>
  <c r="I143"/>
  <c r="H143"/>
  <c r="F145"/>
  <c r="I16"/>
  <c r="I70"/>
  <c r="F46" l="1"/>
  <c r="V145"/>
  <c r="J143"/>
  <c r="F143"/>
  <c r="V107"/>
  <c r="N106"/>
  <c r="R104"/>
  <c r="R106"/>
  <c r="N103"/>
  <c r="J103"/>
  <c r="J106"/>
  <c r="F106"/>
  <c r="G31"/>
  <c r="R34"/>
  <c r="N34"/>
  <c r="J34"/>
  <c r="F34"/>
  <c r="J27"/>
  <c r="J108"/>
  <c r="R209"/>
  <c r="N209"/>
  <c r="J209"/>
  <c r="F209"/>
  <c r="R171"/>
  <c r="N171"/>
  <c r="J171"/>
  <c r="F171"/>
  <c r="F172"/>
  <c r="J172"/>
  <c r="N172"/>
  <c r="R172"/>
  <c r="H68"/>
  <c r="R65"/>
  <c r="N65"/>
  <c r="J65"/>
  <c r="F65"/>
  <c r="V34" l="1"/>
  <c r="V171"/>
  <c r="V106"/>
  <c r="F104"/>
  <c r="V209"/>
  <c r="V172"/>
  <c r="V65"/>
  <c r="L140"/>
  <c r="L135"/>
  <c r="R122"/>
  <c r="N122"/>
  <c r="J122"/>
  <c r="F122"/>
  <c r="V122" l="1"/>
  <c r="L134"/>
  <c r="R66"/>
  <c r="N66"/>
  <c r="J66"/>
  <c r="F66"/>
  <c r="V66" l="1"/>
  <c r="I148"/>
  <c r="M148"/>
  <c r="L97" l="1"/>
  <c r="K117" l="1"/>
  <c r="K97"/>
  <c r="K18"/>
  <c r="T68" l="1"/>
  <c r="P68"/>
  <c r="P60"/>
  <c r="T59"/>
  <c r="P59"/>
  <c r="O59"/>
  <c r="H59"/>
  <c r="O68"/>
  <c r="G114"/>
  <c r="K165"/>
  <c r="O165"/>
  <c r="M165"/>
  <c r="P165"/>
  <c r="Q165"/>
  <c r="T165"/>
  <c r="U165"/>
  <c r="S165"/>
  <c r="L165"/>
  <c r="H165"/>
  <c r="I165"/>
  <c r="G165"/>
  <c r="R176"/>
  <c r="N176"/>
  <c r="J176"/>
  <c r="F176"/>
  <c r="R174"/>
  <c r="N174"/>
  <c r="J174"/>
  <c r="F174"/>
  <c r="V174" l="1"/>
  <c r="V176"/>
  <c r="R108"/>
  <c r="N108"/>
  <c r="N104" s="1"/>
  <c r="F108"/>
  <c r="R83" l="1"/>
  <c r="N83"/>
  <c r="F83"/>
  <c r="S68"/>
  <c r="G68"/>
  <c r="G59"/>
  <c r="V83" l="1"/>
  <c r="O60"/>
  <c r="S59"/>
  <c r="R51" l="1"/>
  <c r="N51"/>
  <c r="J51"/>
  <c r="F51"/>
  <c r="R151"/>
  <c r="N151"/>
  <c r="J151"/>
  <c r="F151"/>
  <c r="O72"/>
  <c r="V51" l="1"/>
  <c r="V151"/>
  <c r="G49"/>
  <c r="R50"/>
  <c r="N50"/>
  <c r="J50"/>
  <c r="F50"/>
  <c r="V50" l="1"/>
  <c r="G45"/>
  <c r="K129"/>
  <c r="K19"/>
  <c r="H45" l="1"/>
  <c r="G14" l="1"/>
  <c r="G13"/>
  <c r="G12"/>
  <c r="F28"/>
  <c r="J28"/>
  <c r="N28"/>
  <c r="R28"/>
  <c r="F29"/>
  <c r="J29"/>
  <c r="N29"/>
  <c r="R29"/>
  <c r="F74"/>
  <c r="J74"/>
  <c r="N74"/>
  <c r="R74"/>
  <c r="F52"/>
  <c r="J52"/>
  <c r="N52"/>
  <c r="R52"/>
  <c r="O157"/>
  <c r="P193"/>
  <c r="O193"/>
  <c r="L193"/>
  <c r="M193"/>
  <c r="K193"/>
  <c r="H67"/>
  <c r="S152"/>
  <c r="O152"/>
  <c r="G152"/>
  <c r="G98"/>
  <c r="K98"/>
  <c r="G82"/>
  <c r="G19"/>
  <c r="F64"/>
  <c r="J64"/>
  <c r="N64"/>
  <c r="R64"/>
  <c r="O62"/>
  <c r="F49"/>
  <c r="J49"/>
  <c r="N49"/>
  <c r="R49"/>
  <c r="V74" l="1"/>
  <c r="V29"/>
  <c r="V49"/>
  <c r="V52"/>
  <c r="V28"/>
  <c r="V64"/>
  <c r="F68"/>
  <c r="F79"/>
  <c r="J79"/>
  <c r="N79"/>
  <c r="R79"/>
  <c r="S84"/>
  <c r="O84"/>
  <c r="G84"/>
  <c r="G57"/>
  <c r="F67"/>
  <c r="J67"/>
  <c r="N67"/>
  <c r="R67"/>
  <c r="G199"/>
  <c r="V79" l="1"/>
  <c r="V67"/>
  <c r="L54"/>
  <c r="K54"/>
  <c r="G54"/>
  <c r="T129"/>
  <c r="U129"/>
  <c r="S129"/>
  <c r="P129"/>
  <c r="Q129"/>
  <c r="O129"/>
  <c r="L129"/>
  <c r="M129"/>
  <c r="H129"/>
  <c r="I129"/>
  <c r="G129"/>
  <c r="R132"/>
  <c r="N132"/>
  <c r="J132"/>
  <c r="F132"/>
  <c r="F129" l="1"/>
  <c r="V132"/>
  <c r="Q193" l="1"/>
  <c r="T193"/>
  <c r="U193"/>
  <c r="S193"/>
  <c r="R195"/>
  <c r="R196"/>
  <c r="R197"/>
  <c r="R198"/>
  <c r="R199"/>
  <c r="R200"/>
  <c r="R201"/>
  <c r="N195"/>
  <c r="N196"/>
  <c r="N197"/>
  <c r="N198"/>
  <c r="N199"/>
  <c r="N200"/>
  <c r="N201"/>
  <c r="J195"/>
  <c r="J196"/>
  <c r="J197"/>
  <c r="J198"/>
  <c r="J199"/>
  <c r="J200"/>
  <c r="J201"/>
  <c r="H193"/>
  <c r="I193"/>
  <c r="G193"/>
  <c r="F195"/>
  <c r="F196"/>
  <c r="F197"/>
  <c r="F198"/>
  <c r="F199"/>
  <c r="F200"/>
  <c r="F201"/>
  <c r="G186"/>
  <c r="T182"/>
  <c r="U182"/>
  <c r="S182"/>
  <c r="P182"/>
  <c r="Q182"/>
  <c r="O182"/>
  <c r="L182"/>
  <c r="M182"/>
  <c r="K182"/>
  <c r="H182"/>
  <c r="I182"/>
  <c r="G182"/>
  <c r="R184"/>
  <c r="N184"/>
  <c r="J184"/>
  <c r="F184"/>
  <c r="R167"/>
  <c r="N167"/>
  <c r="J167"/>
  <c r="F167"/>
  <c r="T148"/>
  <c r="U148"/>
  <c r="S148"/>
  <c r="P148"/>
  <c r="Q148"/>
  <c r="O148"/>
  <c r="L148"/>
  <c r="K148"/>
  <c r="H148"/>
  <c r="G159"/>
  <c r="N162"/>
  <c r="R162"/>
  <c r="J162"/>
  <c r="F162"/>
  <c r="R150"/>
  <c r="R152"/>
  <c r="R153"/>
  <c r="R154"/>
  <c r="N150"/>
  <c r="N152"/>
  <c r="N153"/>
  <c r="J150"/>
  <c r="J152"/>
  <c r="J153"/>
  <c r="F150"/>
  <c r="F152"/>
  <c r="F153"/>
  <c r="T140"/>
  <c r="U140"/>
  <c r="S140"/>
  <c r="P140"/>
  <c r="Q140"/>
  <c r="O140"/>
  <c r="R142"/>
  <c r="M140"/>
  <c r="K140"/>
  <c r="H140"/>
  <c r="I140"/>
  <c r="G140"/>
  <c r="R131"/>
  <c r="N131"/>
  <c r="J131"/>
  <c r="F131"/>
  <c r="R127"/>
  <c r="N127"/>
  <c r="J127"/>
  <c r="F127"/>
  <c r="G124"/>
  <c r="T119"/>
  <c r="U119"/>
  <c r="S119"/>
  <c r="P119"/>
  <c r="Q119"/>
  <c r="O119"/>
  <c r="R121"/>
  <c r="N121"/>
  <c r="L119"/>
  <c r="M119"/>
  <c r="K119"/>
  <c r="J121"/>
  <c r="H119"/>
  <c r="I119"/>
  <c r="I118" s="1"/>
  <c r="G119"/>
  <c r="F121"/>
  <c r="T115"/>
  <c r="U115"/>
  <c r="S115"/>
  <c r="T110"/>
  <c r="U110"/>
  <c r="S110"/>
  <c r="P110"/>
  <c r="Q110"/>
  <c r="O110"/>
  <c r="R112"/>
  <c r="R113"/>
  <c r="R114"/>
  <c r="N112"/>
  <c r="N113"/>
  <c r="N114"/>
  <c r="J112"/>
  <c r="J113"/>
  <c r="J114"/>
  <c r="L110"/>
  <c r="M110"/>
  <c r="K110"/>
  <c r="H110"/>
  <c r="I110"/>
  <c r="G110"/>
  <c r="F112"/>
  <c r="F113"/>
  <c r="F114"/>
  <c r="H70"/>
  <c r="G70"/>
  <c r="K70"/>
  <c r="L70"/>
  <c r="M70"/>
  <c r="O70"/>
  <c r="Q70"/>
  <c r="S70"/>
  <c r="U70"/>
  <c r="T70"/>
  <c r="P70"/>
  <c r="O54"/>
  <c r="T54"/>
  <c r="S54"/>
  <c r="P54"/>
  <c r="V112" l="1"/>
  <c r="V152"/>
  <c r="V198"/>
  <c r="N182"/>
  <c r="V201"/>
  <c r="V197"/>
  <c r="V150"/>
  <c r="V199"/>
  <c r="V195"/>
  <c r="V200"/>
  <c r="V196"/>
  <c r="V153"/>
  <c r="F182"/>
  <c r="V167"/>
  <c r="V127"/>
  <c r="V184"/>
  <c r="J182"/>
  <c r="V162"/>
  <c r="U118"/>
  <c r="G118"/>
  <c r="Q118"/>
  <c r="M118"/>
  <c r="V121"/>
  <c r="U109"/>
  <c r="V131"/>
  <c r="T109"/>
  <c r="S109"/>
  <c r="V114"/>
  <c r="N70"/>
  <c r="V113"/>
  <c r="F59"/>
  <c r="R48"/>
  <c r="R61"/>
  <c r="R62"/>
  <c r="N61"/>
  <c r="N62"/>
  <c r="J61"/>
  <c r="J62"/>
  <c r="F61"/>
  <c r="F62"/>
  <c r="F63"/>
  <c r="J63"/>
  <c r="N63"/>
  <c r="R63"/>
  <c r="T57"/>
  <c r="U57"/>
  <c r="S57"/>
  <c r="P57"/>
  <c r="Q57"/>
  <c r="O57"/>
  <c r="H57"/>
  <c r="I57"/>
  <c r="K57"/>
  <c r="L57"/>
  <c r="M57"/>
  <c r="H54"/>
  <c r="I54"/>
  <c r="R59"/>
  <c r="R60"/>
  <c r="N59"/>
  <c r="N60"/>
  <c r="J59"/>
  <c r="J60"/>
  <c r="F60"/>
  <c r="R13"/>
  <c r="R14"/>
  <c r="R15"/>
  <c r="R12"/>
  <c r="N13"/>
  <c r="N14"/>
  <c r="N15"/>
  <c r="N12"/>
  <c r="J13"/>
  <c r="J14"/>
  <c r="J15"/>
  <c r="J12"/>
  <c r="F13"/>
  <c r="F14"/>
  <c r="F15"/>
  <c r="F12"/>
  <c r="F18"/>
  <c r="V60" l="1"/>
  <c r="F54"/>
  <c r="V182"/>
  <c r="V62"/>
  <c r="V63"/>
  <c r="F57"/>
  <c r="V59"/>
  <c r="V61"/>
  <c r="R57"/>
  <c r="J57"/>
  <c r="N57"/>
  <c r="V57" l="1"/>
  <c r="F36"/>
  <c r="J36"/>
  <c r="R36"/>
  <c r="N36"/>
  <c r="V36" l="1"/>
  <c r="F173" l="1"/>
  <c r="J173"/>
  <c r="N173"/>
  <c r="R173"/>
  <c r="V173" l="1"/>
  <c r="F33"/>
  <c r="H31"/>
  <c r="P115" l="1"/>
  <c r="P109" s="1"/>
  <c r="Q115"/>
  <c r="Q109" s="1"/>
  <c r="O115"/>
  <c r="O109" s="1"/>
  <c r="L115"/>
  <c r="L109" s="1"/>
  <c r="M115"/>
  <c r="M109" s="1"/>
  <c r="K115"/>
  <c r="K109" s="1"/>
  <c r="H115"/>
  <c r="H109" s="1"/>
  <c r="I115"/>
  <c r="I109" s="1"/>
  <c r="F117"/>
  <c r="J117"/>
  <c r="N117"/>
  <c r="R117"/>
  <c r="G115" l="1"/>
  <c r="G109" s="1"/>
  <c r="V117"/>
  <c r="G10" l="1"/>
  <c r="F76"/>
  <c r="J76"/>
  <c r="N76"/>
  <c r="R76"/>
  <c r="F77"/>
  <c r="J77"/>
  <c r="N77"/>
  <c r="R77"/>
  <c r="V14" l="1"/>
  <c r="V77"/>
  <c r="V76"/>
  <c r="K19" i="2"/>
  <c r="I25" i="1" l="1"/>
  <c r="F170" l="1"/>
  <c r="J170"/>
  <c r="N170"/>
  <c r="R170"/>
  <c r="F82"/>
  <c r="J82"/>
  <c r="N82"/>
  <c r="R82"/>
  <c r="U189"/>
  <c r="Q189"/>
  <c r="L189"/>
  <c r="M189"/>
  <c r="K189"/>
  <c r="I189"/>
  <c r="F191"/>
  <c r="J191"/>
  <c r="N191"/>
  <c r="R191"/>
  <c r="V170" l="1"/>
  <c r="V82"/>
  <c r="T189"/>
  <c r="O189"/>
  <c r="S189"/>
  <c r="P189"/>
  <c r="V191"/>
  <c r="H189"/>
  <c r="F30" l="1"/>
  <c r="J30"/>
  <c r="N30"/>
  <c r="R30"/>
  <c r="R128"/>
  <c r="N128"/>
  <c r="J128"/>
  <c r="F128"/>
  <c r="M10"/>
  <c r="H10"/>
  <c r="R85"/>
  <c r="N85"/>
  <c r="J85"/>
  <c r="F85"/>
  <c r="G189"/>
  <c r="F189" s="1"/>
  <c r="V30" l="1"/>
  <c r="V85"/>
  <c r="V128"/>
  <c r="F84" l="1"/>
  <c r="J84"/>
  <c r="N84"/>
  <c r="R84"/>
  <c r="V84" l="1"/>
  <c r="G25" l="1"/>
  <c r="F126" l="1"/>
  <c r="R215"/>
  <c r="R214"/>
  <c r="R210"/>
  <c r="R206"/>
  <c r="R202"/>
  <c r="R192"/>
  <c r="R188"/>
  <c r="R181"/>
  <c r="R180"/>
  <c r="R179"/>
  <c r="R175"/>
  <c r="R169"/>
  <c r="R168"/>
  <c r="R163"/>
  <c r="R161"/>
  <c r="R158"/>
  <c r="R157"/>
  <c r="R146"/>
  <c r="R138"/>
  <c r="R137"/>
  <c r="R133"/>
  <c r="R126"/>
  <c r="R123"/>
  <c r="R103"/>
  <c r="R100"/>
  <c r="R99"/>
  <c r="R98"/>
  <c r="R97"/>
  <c r="R96"/>
  <c r="R95"/>
  <c r="R92"/>
  <c r="R91"/>
  <c r="R90"/>
  <c r="R89"/>
  <c r="R88"/>
  <c r="R81"/>
  <c r="R80"/>
  <c r="R78"/>
  <c r="R75"/>
  <c r="R73"/>
  <c r="R72"/>
  <c r="R68"/>
  <c r="R56"/>
  <c r="R45"/>
  <c r="R44"/>
  <c r="R41"/>
  <c r="R40"/>
  <c r="R35"/>
  <c r="R33"/>
  <c r="R27"/>
  <c r="R24"/>
  <c r="R23"/>
  <c r="R22"/>
  <c r="R21"/>
  <c r="R20"/>
  <c r="R19"/>
  <c r="R18"/>
  <c r="U212"/>
  <c r="U211" s="1"/>
  <c r="U204"/>
  <c r="U203" s="1"/>
  <c r="U186"/>
  <c r="U177"/>
  <c r="U159"/>
  <c r="U155"/>
  <c r="U135"/>
  <c r="U101"/>
  <c r="U93"/>
  <c r="U86"/>
  <c r="U54"/>
  <c r="U42"/>
  <c r="U38"/>
  <c r="U31"/>
  <c r="U25"/>
  <c r="U16"/>
  <c r="U10"/>
  <c r="N215"/>
  <c r="N214"/>
  <c r="N210"/>
  <c r="N206"/>
  <c r="N202"/>
  <c r="N192"/>
  <c r="N188"/>
  <c r="N181"/>
  <c r="N180"/>
  <c r="N179"/>
  <c r="N175"/>
  <c r="N169"/>
  <c r="N168"/>
  <c r="N163"/>
  <c r="N161"/>
  <c r="N158"/>
  <c r="N157"/>
  <c r="N154"/>
  <c r="N146"/>
  <c r="N142"/>
  <c r="N138"/>
  <c r="N137"/>
  <c r="N133"/>
  <c r="N126"/>
  <c r="N123"/>
  <c r="N100"/>
  <c r="N99"/>
  <c r="N98"/>
  <c r="N97"/>
  <c r="N96"/>
  <c r="N95"/>
  <c r="N92"/>
  <c r="N91"/>
  <c r="N90"/>
  <c r="N89"/>
  <c r="N88"/>
  <c r="N81"/>
  <c r="N80"/>
  <c r="N78"/>
  <c r="N75"/>
  <c r="N73"/>
  <c r="N72"/>
  <c r="N68"/>
  <c r="N56"/>
  <c r="N48"/>
  <c r="N45"/>
  <c r="N44"/>
  <c r="N41"/>
  <c r="N40"/>
  <c r="N35"/>
  <c r="N33"/>
  <c r="N27"/>
  <c r="N24"/>
  <c r="N23"/>
  <c r="N22"/>
  <c r="N21"/>
  <c r="N20"/>
  <c r="N19"/>
  <c r="N18"/>
  <c r="Q212"/>
  <c r="Q211" s="1"/>
  <c r="Q204"/>
  <c r="Q203" s="1"/>
  <c r="Q186"/>
  <c r="Q177"/>
  <c r="Q159"/>
  <c r="Q155"/>
  <c r="Q135"/>
  <c r="Q101"/>
  <c r="Q93"/>
  <c r="Q86"/>
  <c r="Q54"/>
  <c r="Q42"/>
  <c r="Q38"/>
  <c r="Q31"/>
  <c r="Q25"/>
  <c r="Q16"/>
  <c r="Q10"/>
  <c r="J215"/>
  <c r="J214"/>
  <c r="M212"/>
  <c r="M211" s="1"/>
  <c r="L212"/>
  <c r="L211" s="1"/>
  <c r="K212"/>
  <c r="K211" s="1"/>
  <c r="J210"/>
  <c r="J206"/>
  <c r="M204"/>
  <c r="M203" s="1"/>
  <c r="L204"/>
  <c r="L203" s="1"/>
  <c r="K204"/>
  <c r="K203" s="1"/>
  <c r="J202"/>
  <c r="J192"/>
  <c r="J188"/>
  <c r="M186"/>
  <c r="L186"/>
  <c r="K186"/>
  <c r="J181"/>
  <c r="J180"/>
  <c r="J179"/>
  <c r="M177"/>
  <c r="M164" s="1"/>
  <c r="L177"/>
  <c r="L164" s="1"/>
  <c r="K177"/>
  <c r="K164" s="1"/>
  <c r="J175"/>
  <c r="J169"/>
  <c r="J168"/>
  <c r="J163"/>
  <c r="J161"/>
  <c r="M159"/>
  <c r="L159"/>
  <c r="K159"/>
  <c r="J158"/>
  <c r="J157"/>
  <c r="M155"/>
  <c r="L155"/>
  <c r="K155"/>
  <c r="J154"/>
  <c r="J146"/>
  <c r="J142"/>
  <c r="J138"/>
  <c r="J137"/>
  <c r="M135"/>
  <c r="K135"/>
  <c r="J133"/>
  <c r="J126"/>
  <c r="L124"/>
  <c r="L118" s="1"/>
  <c r="K124"/>
  <c r="K118" s="1"/>
  <c r="J123"/>
  <c r="M101"/>
  <c r="L101"/>
  <c r="K101"/>
  <c r="J100"/>
  <c r="J99"/>
  <c r="J98"/>
  <c r="J97"/>
  <c r="J96"/>
  <c r="J95"/>
  <c r="M93"/>
  <c r="L93"/>
  <c r="K93"/>
  <c r="J92"/>
  <c r="J91"/>
  <c r="J90"/>
  <c r="J89"/>
  <c r="J88"/>
  <c r="M86"/>
  <c r="L86"/>
  <c r="K86"/>
  <c r="J81"/>
  <c r="J80"/>
  <c r="J78"/>
  <c r="J75"/>
  <c r="J73"/>
  <c r="J72"/>
  <c r="J68"/>
  <c r="J56"/>
  <c r="M54"/>
  <c r="J48"/>
  <c r="J45"/>
  <c r="J44"/>
  <c r="M42"/>
  <c r="L42"/>
  <c r="K42"/>
  <c r="J41"/>
  <c r="J40"/>
  <c r="M38"/>
  <c r="L38"/>
  <c r="K38"/>
  <c r="J35"/>
  <c r="J33"/>
  <c r="M31"/>
  <c r="L31"/>
  <c r="K31"/>
  <c r="M25"/>
  <c r="L25"/>
  <c r="K25"/>
  <c r="J24"/>
  <c r="J23"/>
  <c r="J22"/>
  <c r="J21"/>
  <c r="J20"/>
  <c r="J19"/>
  <c r="J18"/>
  <c r="M16"/>
  <c r="L16"/>
  <c r="K16"/>
  <c r="L10"/>
  <c r="K10"/>
  <c r="F19"/>
  <c r="F20"/>
  <c r="F21"/>
  <c r="F22"/>
  <c r="F23"/>
  <c r="F24"/>
  <c r="F27"/>
  <c r="F35"/>
  <c r="F40"/>
  <c r="F41"/>
  <c r="F44"/>
  <c r="F45"/>
  <c r="F48"/>
  <c r="F56"/>
  <c r="F72"/>
  <c r="F73"/>
  <c r="F75"/>
  <c r="F78"/>
  <c r="F80"/>
  <c r="F81"/>
  <c r="F88"/>
  <c r="F89"/>
  <c r="F90"/>
  <c r="F91"/>
  <c r="F92"/>
  <c r="F95"/>
  <c r="F96"/>
  <c r="F97"/>
  <c r="F98"/>
  <c r="F99"/>
  <c r="F100"/>
  <c r="F103"/>
  <c r="F123"/>
  <c r="F133"/>
  <c r="F137"/>
  <c r="F138"/>
  <c r="F142"/>
  <c r="F146"/>
  <c r="F154"/>
  <c r="F157"/>
  <c r="F158"/>
  <c r="F161"/>
  <c r="F163"/>
  <c r="F168"/>
  <c r="F169"/>
  <c r="F175"/>
  <c r="F179"/>
  <c r="F180"/>
  <c r="F181"/>
  <c r="F188"/>
  <c r="F192"/>
  <c r="F202"/>
  <c r="F206"/>
  <c r="F210"/>
  <c r="F214"/>
  <c r="F215"/>
  <c r="I212"/>
  <c r="I211" s="1"/>
  <c r="I204"/>
  <c r="I203" s="1"/>
  <c r="I186"/>
  <c r="I185" s="1"/>
  <c r="I177"/>
  <c r="I164" s="1"/>
  <c r="I159"/>
  <c r="I155"/>
  <c r="I135"/>
  <c r="I134" s="1"/>
  <c r="I101"/>
  <c r="I93"/>
  <c r="I86"/>
  <c r="I42"/>
  <c r="I38"/>
  <c r="I31"/>
  <c r="F31" s="1"/>
  <c r="I10"/>
  <c r="I147" l="1"/>
  <c r="M69"/>
  <c r="I37"/>
  <c r="M9"/>
  <c r="F10"/>
  <c r="I9"/>
  <c r="I69"/>
  <c r="V89"/>
  <c r="V90"/>
  <c r="V215"/>
  <c r="V168"/>
  <c r="V142"/>
  <c r="V80"/>
  <c r="V175"/>
  <c r="V214"/>
  <c r="Q164"/>
  <c r="V161"/>
  <c r="V133"/>
  <c r="V169"/>
  <c r="V103"/>
  <c r="M37"/>
  <c r="Q37"/>
  <c r="L37"/>
  <c r="K37"/>
  <c r="U37"/>
  <c r="K185"/>
  <c r="Q9"/>
  <c r="R70"/>
  <c r="V78"/>
  <c r="K134"/>
  <c r="Q134"/>
  <c r="Q185"/>
  <c r="M134"/>
  <c r="M185"/>
  <c r="L185"/>
  <c r="U185"/>
  <c r="U134"/>
  <c r="L9"/>
  <c r="K9"/>
  <c r="U9"/>
  <c r="V157"/>
  <c r="V15"/>
  <c r="V91"/>
  <c r="V154"/>
  <c r="V56"/>
  <c r="V40"/>
  <c r="V27"/>
  <c r="V20"/>
  <c r="V41"/>
  <c r="V45"/>
  <c r="V123"/>
  <c r="V13"/>
  <c r="V68"/>
  <c r="V72"/>
  <c r="V81"/>
  <c r="V92"/>
  <c r="V138"/>
  <c r="V158"/>
  <c r="V163"/>
  <c r="V179"/>
  <c r="V48"/>
  <c r="V206"/>
  <c r="V126"/>
  <c r="V35"/>
  <c r="V12"/>
  <c r="V33"/>
  <c r="V88"/>
  <c r="V96"/>
  <c r="V99"/>
  <c r="V181"/>
  <c r="V188"/>
  <c r="V97"/>
  <c r="V19"/>
  <c r="V22"/>
  <c r="V24"/>
  <c r="V44"/>
  <c r="V75"/>
  <c r="V95"/>
  <c r="V98"/>
  <c r="V137"/>
  <c r="V146"/>
  <c r="V18"/>
  <c r="V21"/>
  <c r="V23"/>
  <c r="V73"/>
  <c r="V100"/>
  <c r="M147"/>
  <c r="V180"/>
  <c r="V202"/>
  <c r="V210"/>
  <c r="U147"/>
  <c r="J193"/>
  <c r="J212"/>
  <c r="J101"/>
  <c r="Q147"/>
  <c r="J119"/>
  <c r="J115"/>
  <c r="J177"/>
  <c r="J25"/>
  <c r="J110"/>
  <c r="J129"/>
  <c r="J140"/>
  <c r="J54"/>
  <c r="L147"/>
  <c r="J159"/>
  <c r="J189"/>
  <c r="J165"/>
  <c r="K147"/>
  <c r="J148"/>
  <c r="J135"/>
  <c r="J93"/>
  <c r="J86"/>
  <c r="J70"/>
  <c r="J46"/>
  <c r="J42"/>
  <c r="J38"/>
  <c r="J31"/>
  <c r="J16"/>
  <c r="J10"/>
  <c r="J155"/>
  <c r="J186"/>
  <c r="J204"/>
  <c r="J124"/>
  <c r="M8" l="1"/>
  <c r="I8"/>
  <c r="V108"/>
  <c r="J185"/>
  <c r="D13" i="2" s="1"/>
  <c r="L13" s="1"/>
  <c r="J147" i="1"/>
  <c r="J203"/>
  <c r="D17" i="2" s="1"/>
  <c r="L17" s="1"/>
  <c r="J109" i="1"/>
  <c r="D15" i="2" s="1"/>
  <c r="L15" s="1"/>
  <c r="P15" s="1"/>
  <c r="J118" i="1"/>
  <c r="J211"/>
  <c r="D16" i="2" s="1"/>
  <c r="L16" s="1"/>
  <c r="P16" s="1"/>
  <c r="J164" i="1"/>
  <c r="D14" i="2" s="1"/>
  <c r="L14" s="1"/>
  <c r="P14" s="1"/>
  <c r="J134" i="1"/>
  <c r="J37"/>
  <c r="D9" i="2" s="1"/>
  <c r="L9" s="1"/>
  <c r="J9" i="1"/>
  <c r="D8" i="2" s="1"/>
  <c r="L8" s="1"/>
  <c r="P8" s="1"/>
  <c r="D12" l="1"/>
  <c r="L12" s="1"/>
  <c r="P12" s="1"/>
  <c r="D10"/>
  <c r="L10" s="1"/>
  <c r="P10" s="1"/>
  <c r="D7"/>
  <c r="L7" s="1"/>
  <c r="P7" s="1"/>
  <c r="P13"/>
  <c r="P9"/>
  <c r="P17"/>
  <c r="T212" i="1" l="1"/>
  <c r="T211" s="1"/>
  <c r="S212"/>
  <c r="S211" s="1"/>
  <c r="T204"/>
  <c r="T203" s="1"/>
  <c r="S204"/>
  <c r="S203" s="1"/>
  <c r="T186"/>
  <c r="S186"/>
  <c r="T177"/>
  <c r="S177"/>
  <c r="T159"/>
  <c r="S159"/>
  <c r="T155"/>
  <c r="S155"/>
  <c r="T135"/>
  <c r="S135"/>
  <c r="T124"/>
  <c r="T118" s="1"/>
  <c r="S124"/>
  <c r="S118" s="1"/>
  <c r="T101"/>
  <c r="S101"/>
  <c r="T93"/>
  <c r="S93"/>
  <c r="T86"/>
  <c r="S86"/>
  <c r="T42"/>
  <c r="S42"/>
  <c r="T38"/>
  <c r="S38"/>
  <c r="T31"/>
  <c r="S31"/>
  <c r="T25"/>
  <c r="S25"/>
  <c r="T16"/>
  <c r="S16"/>
  <c r="T10"/>
  <c r="S10"/>
  <c r="P212"/>
  <c r="P211" s="1"/>
  <c r="O212"/>
  <c r="O211" s="1"/>
  <c r="P204"/>
  <c r="P203" s="1"/>
  <c r="O204"/>
  <c r="O203" s="1"/>
  <c r="P186"/>
  <c r="O186"/>
  <c r="P177"/>
  <c r="O177"/>
  <c r="P159"/>
  <c r="O159"/>
  <c r="P155"/>
  <c r="O155"/>
  <c r="P135"/>
  <c r="O135"/>
  <c r="P124"/>
  <c r="P118" s="1"/>
  <c r="O124"/>
  <c r="O118" s="1"/>
  <c r="P101"/>
  <c r="O101"/>
  <c r="P93"/>
  <c r="O93"/>
  <c r="P86"/>
  <c r="O86"/>
  <c r="P42"/>
  <c r="O42"/>
  <c r="P38"/>
  <c r="O38"/>
  <c r="P31"/>
  <c r="O31"/>
  <c r="P25"/>
  <c r="O25"/>
  <c r="P16"/>
  <c r="O16"/>
  <c r="P10"/>
  <c r="O10"/>
  <c r="H212"/>
  <c r="H211" s="1"/>
  <c r="G212"/>
  <c r="G211" s="1"/>
  <c r="G204"/>
  <c r="G203" s="1"/>
  <c r="H186"/>
  <c r="G177"/>
  <c r="G164" s="1"/>
  <c r="H177"/>
  <c r="H164" s="1"/>
  <c r="H159"/>
  <c r="H155"/>
  <c r="H135"/>
  <c r="G135"/>
  <c r="H124"/>
  <c r="G101"/>
  <c r="H101"/>
  <c r="H93"/>
  <c r="G86"/>
  <c r="H86"/>
  <c r="G42"/>
  <c r="H38"/>
  <c r="H16"/>
  <c r="H69" l="1"/>
  <c r="F164"/>
  <c r="O164"/>
  <c r="P164"/>
  <c r="F124"/>
  <c r="H118"/>
  <c r="T37"/>
  <c r="P37"/>
  <c r="O37"/>
  <c r="S37"/>
  <c r="P9"/>
  <c r="R140"/>
  <c r="G134"/>
  <c r="O134"/>
  <c r="O185"/>
  <c r="G185"/>
  <c r="H185"/>
  <c r="P134"/>
  <c r="P185"/>
  <c r="H134"/>
  <c r="T134"/>
  <c r="T185"/>
  <c r="S134"/>
  <c r="S185"/>
  <c r="O9"/>
  <c r="T9"/>
  <c r="S9"/>
  <c r="R193"/>
  <c r="R16"/>
  <c r="R31"/>
  <c r="R38"/>
  <c r="R54"/>
  <c r="R86"/>
  <c r="R101"/>
  <c r="R110"/>
  <c r="R119"/>
  <c r="R135"/>
  <c r="R148"/>
  <c r="R186"/>
  <c r="R204"/>
  <c r="R10"/>
  <c r="R25"/>
  <c r="R42"/>
  <c r="R46"/>
  <c r="R93"/>
  <c r="R115"/>
  <c r="R124"/>
  <c r="R143"/>
  <c r="R155"/>
  <c r="R165"/>
  <c r="R177"/>
  <c r="R189"/>
  <c r="R159"/>
  <c r="R129"/>
  <c r="R212"/>
  <c r="N124"/>
  <c r="F193"/>
  <c r="V193" s="1"/>
  <c r="N129"/>
  <c r="N140"/>
  <c r="N212"/>
  <c r="N16"/>
  <c r="N31"/>
  <c r="N38"/>
  <c r="N54"/>
  <c r="N86"/>
  <c r="N101"/>
  <c r="N110"/>
  <c r="N119"/>
  <c r="N135"/>
  <c r="N148"/>
  <c r="N159"/>
  <c r="N186"/>
  <c r="N204"/>
  <c r="N10"/>
  <c r="N25"/>
  <c r="N42"/>
  <c r="N46"/>
  <c r="N93"/>
  <c r="N115"/>
  <c r="N143"/>
  <c r="N155"/>
  <c r="N165"/>
  <c r="N177"/>
  <c r="N189"/>
  <c r="N193"/>
  <c r="V129"/>
  <c r="F140"/>
  <c r="V140" s="1"/>
  <c r="F101"/>
  <c r="V101" s="1"/>
  <c r="F119"/>
  <c r="V119" s="1"/>
  <c r="F148"/>
  <c r="V148" s="1"/>
  <c r="V189"/>
  <c r="F212"/>
  <c r="V212" s="1"/>
  <c r="V46"/>
  <c r="F135"/>
  <c r="V135" s="1"/>
  <c r="V143"/>
  <c r="F186"/>
  <c r="F159"/>
  <c r="V159" s="1"/>
  <c r="F86"/>
  <c r="V86" s="1"/>
  <c r="F177"/>
  <c r="V177" s="1"/>
  <c r="P147"/>
  <c r="T147"/>
  <c r="H147"/>
  <c r="S147"/>
  <c r="O147"/>
  <c r="G38"/>
  <c r="G37" s="1"/>
  <c r="V31"/>
  <c r="G155"/>
  <c r="H25"/>
  <c r="F25" s="1"/>
  <c r="V25" s="1"/>
  <c r="H42"/>
  <c r="F42" s="1"/>
  <c r="V42" s="1"/>
  <c r="G16"/>
  <c r="F16" s="1"/>
  <c r="V16" s="1"/>
  <c r="F110"/>
  <c r="V110" s="1"/>
  <c r="F115"/>
  <c r="V115" s="1"/>
  <c r="H204"/>
  <c r="H203" s="1"/>
  <c r="G93"/>
  <c r="F93" s="1"/>
  <c r="V93" s="1"/>
  <c r="H9" l="1"/>
  <c r="F185"/>
  <c r="N185"/>
  <c r="G69"/>
  <c r="F69" s="1"/>
  <c r="H37"/>
  <c r="V186"/>
  <c r="F38"/>
  <c r="V38" s="1"/>
  <c r="N134"/>
  <c r="G9"/>
  <c r="R118"/>
  <c r="R185"/>
  <c r="R9"/>
  <c r="R211"/>
  <c r="R203"/>
  <c r="R134"/>
  <c r="N118"/>
  <c r="N109"/>
  <c r="N9"/>
  <c r="R109"/>
  <c r="R147"/>
  <c r="N211"/>
  <c r="N164"/>
  <c r="R37"/>
  <c r="N147"/>
  <c r="F118"/>
  <c r="V124"/>
  <c r="N37"/>
  <c r="N203"/>
  <c r="F70"/>
  <c r="V70" s="1"/>
  <c r="F165"/>
  <c r="V165" s="1"/>
  <c r="F203"/>
  <c r="V54"/>
  <c r="F211"/>
  <c r="G147"/>
  <c r="F147" s="1"/>
  <c r="F155"/>
  <c r="V155" s="1"/>
  <c r="F134"/>
  <c r="V10"/>
  <c r="F204"/>
  <c r="V204" s="1"/>
  <c r="F109"/>
  <c r="V109" s="1"/>
  <c r="E15" i="2" l="1"/>
  <c r="C15"/>
  <c r="K15" s="1"/>
  <c r="V203" i="1"/>
  <c r="E17" i="2" s="1"/>
  <c r="C17"/>
  <c r="K17" s="1"/>
  <c r="C11"/>
  <c r="K11" s="1"/>
  <c r="V211" i="1"/>
  <c r="E16" i="2" s="1"/>
  <c r="C16"/>
  <c r="K16" s="1"/>
  <c r="V164" i="1"/>
  <c r="E14" i="2" s="1"/>
  <c r="C14"/>
  <c r="K14" s="1"/>
  <c r="V118" i="1"/>
  <c r="E10" i="2" s="1"/>
  <c r="C10"/>
  <c r="K10" s="1"/>
  <c r="V134" i="1"/>
  <c r="E12" i="2" s="1"/>
  <c r="C12"/>
  <c r="K12" s="1"/>
  <c r="V147" i="1"/>
  <c r="E7" i="2" s="1"/>
  <c r="C7"/>
  <c r="K7" s="1"/>
  <c r="V185" i="1"/>
  <c r="E13" i="2" s="1"/>
  <c r="C13"/>
  <c r="K13" s="1"/>
  <c r="F37" i="1"/>
  <c r="F9"/>
  <c r="H8"/>
  <c r="G8"/>
  <c r="V37" l="1"/>
  <c r="E9" i="2" s="1"/>
  <c r="C9"/>
  <c r="K9" s="1"/>
  <c r="M7"/>
  <c r="O7"/>
  <c r="M10"/>
  <c r="O10"/>
  <c r="V9" i="1"/>
  <c r="E8" i="2" s="1"/>
  <c r="C8"/>
  <c r="K8" s="1"/>
  <c r="M14"/>
  <c r="O14"/>
  <c r="O11"/>
  <c r="M15"/>
  <c r="O15"/>
  <c r="O13"/>
  <c r="M13"/>
  <c r="M12"/>
  <c r="O12"/>
  <c r="M16"/>
  <c r="O16"/>
  <c r="O17"/>
  <c r="M17"/>
  <c r="F8" i="1"/>
  <c r="C6" i="2" l="1"/>
  <c r="K6" s="1"/>
  <c r="O6" s="1"/>
  <c r="O9"/>
  <c r="M9"/>
  <c r="M8"/>
  <c r="O8"/>
  <c r="S164" i="1"/>
  <c r="R182" l="1"/>
  <c r="U164"/>
  <c r="T164"/>
  <c r="R164" l="1"/>
  <c r="Q69" l="1"/>
  <c r="Q8" s="1"/>
  <c r="T69"/>
  <c r="T8" s="1"/>
  <c r="U69"/>
  <c r="U8" s="1"/>
  <c r="L69"/>
  <c r="L8" s="1"/>
  <c r="P69"/>
  <c r="P8" s="1"/>
  <c r="O69"/>
  <c r="K69"/>
  <c r="S69"/>
  <c r="J104"/>
  <c r="V104" s="1"/>
  <c r="R69" l="1"/>
  <c r="S8"/>
  <c r="R8" s="1"/>
  <c r="N69"/>
  <c r="O8"/>
  <c r="N8" s="1"/>
  <c r="J69"/>
  <c r="D11" i="2" s="1"/>
  <c r="L11" s="1"/>
  <c r="K8" i="1"/>
  <c r="J8" s="1"/>
  <c r="V69" l="1"/>
  <c r="E11" i="2" s="1"/>
  <c r="M11"/>
  <c r="P11"/>
  <c r="V8" i="1"/>
  <c r="E6" i="2" s="1"/>
  <c r="D6"/>
  <c r="L6" s="1"/>
  <c r="P6" l="1"/>
  <c r="M6"/>
</calcChain>
</file>

<file path=xl/sharedStrings.xml><?xml version="1.0" encoding="utf-8"?>
<sst xmlns="http://schemas.openxmlformats.org/spreadsheetml/2006/main" count="827" uniqueCount="391">
  <si>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</si>
  <si>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</si>
  <si>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</si>
  <si>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</si>
  <si>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</si>
  <si>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</si>
  <si>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</si>
  <si>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</si>
  <si>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</si>
  <si>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</si>
  <si>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</si>
  <si>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</si>
  <si>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</si>
  <si>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</si>
  <si>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</si>
  <si>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</si>
  <si>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</si>
  <si>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</si>
  <si>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</si>
  <si>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</si>
  <si>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</si>
  <si>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</si>
  <si>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</si>
  <si>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</si>
  <si>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</si>
  <si>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</si>
  <si>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</si>
  <si>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</si>
  <si>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</si>
  <si>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</si>
  <si>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</si>
  <si>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</si>
  <si>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</si>
  <si>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</si>
  <si>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</si>
  <si>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</si>
  <si>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</si>
  <si>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</si>
  <si>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</si>
  <si>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</si>
  <si>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</si>
  <si>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</si>
  <si>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</si>
  <si>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</si>
  <si>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</si>
  <si>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</si>
  <si>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</si>
  <si>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</si>
  <si>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</si>
  <si>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</si>
  <si>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</si>
  <si>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</si>
  <si>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</si>
  <si>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</si>
  <si>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</si>
  <si>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</si>
  <si>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</si>
  <si>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</si>
  <si>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</si>
  <si>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</si>
  <si>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</si>
  <si>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</si>
  <si>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</si>
  <si>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</si>
  <si>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</si>
  <si>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</si>
  <si>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</si>
  <si>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</si>
  <si>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</si>
  <si>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</si>
  <si>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</si>
  <si>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</si>
  <si>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</si>
  <si>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</si>
  <si>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</si>
  <si>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</si>
  <si>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</si>
  <si>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</si>
  <si>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</si>
  <si>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</si>
  <si>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</si>
  <si>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</si>
  <si>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</si>
  <si>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</si>
  <si>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</si>
  <si>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7</t>
  </si>
  <si>
    <t>Национальный проект "Безопасные и качественные автомобильные дороги"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</si>
  <si>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</si>
  <si>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</si>
  <si>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</si>
  <si>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</si>
  <si>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</si>
  <si>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</si>
  <si>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</si>
  <si>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</si>
  <si>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</si>
  <si>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</si>
  <si>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</si>
  <si>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</si>
  <si>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</si>
  <si>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</si>
  <si>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</si>
  <si>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</si>
  <si>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</si>
  <si>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</si>
  <si>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</si>
  <si>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</si>
  <si>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</si>
  <si>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</si>
  <si>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</si>
  <si>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03WI555274</t>
  </si>
  <si>
    <t>03WL252961</t>
  </si>
  <si>
    <t>Повышение эффективности службы занятости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</si>
  <si>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</si>
  <si>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</si>
  <si>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</si>
  <si>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</si>
  <si>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</si>
  <si>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</si>
  <si>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</si>
  <si>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</si>
  <si>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</si>
  <si>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</si>
  <si>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</si>
  <si>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</si>
  <si>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</si>
  <si>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</si>
  <si>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</si>
  <si>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</si>
  <si>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</si>
  <si>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</si>
  <si>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</si>
  <si>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</si>
  <si>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</si>
  <si>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</si>
  <si>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</si>
  <si>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</si>
  <si>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</si>
  <si>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</si>
  <si>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</si>
  <si>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</si>
  <si>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</si>
  <si>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</si>
  <si>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</si>
  <si>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</si>
  <si>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</si>
  <si>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</si>
  <si>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</si>
  <si>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</si>
  <si>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</si>
  <si>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</si>
  <si>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</si>
  <si>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</si>
  <si>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</si>
  <si>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</si>
  <si>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</si>
  <si>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</si>
  <si>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15WGА54290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</si>
  <si>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</si>
  <si>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</si>
  <si>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</si>
  <si>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</si>
  <si>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</si>
  <si>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20WD622500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</si>
  <si>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</si>
  <si>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</si>
  <si>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</si>
  <si>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</si>
  <si>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</si>
  <si>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</si>
  <si>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</si>
  <si>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</si>
  <si>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</si>
  <si>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</si>
  <si>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</si>
  <si>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03WL252962</t>
  </si>
  <si>
    <t>09WE452101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</si>
  <si>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</si>
  <si>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</si>
  <si>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</si>
  <si>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</si>
  <si>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</si>
  <si>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</si>
  <si>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</si>
  <si>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</si>
  <si>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</si>
  <si>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</si>
  <si>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</si>
  <si>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</si>
  <si>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</si>
  <si>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</si>
  <si>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</si>
  <si>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</si>
  <si>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</si>
  <si>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</si>
  <si>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</si>
  <si>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</si>
  <si>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</si>
  <si>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</si>
  <si>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</si>
  <si>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</si>
  <si>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</si>
  <si>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</si>
  <si>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03WI555279</t>
  </si>
  <si>
    <t>05WP252910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</si>
  <si>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</si>
  <si>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</si>
  <si>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</si>
  <si>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</si>
  <si>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</si>
  <si>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</si>
  <si>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</si>
  <si>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</si>
  <si>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</si>
  <si>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</si>
  <si>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</si>
  <si>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</si>
  <si>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</si>
  <si>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</si>
  <si>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</si>
  <si>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</si>
  <si>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</si>
  <si>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</si>
  <si>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</si>
  <si>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</si>
  <si>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</si>
  <si>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</si>
  <si>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</si>
  <si>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</si>
  <si>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</si>
  <si>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</si>
  <si>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</si>
  <si>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</si>
  <si>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</si>
  <si>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</si>
  <si>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09WE152301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</si>
  <si>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</si>
  <si>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Департамент по управлению государственной собственностью Томской области</t>
  </si>
  <si>
    <t>06WI554800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</si>
  <si>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</si>
  <si>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</si>
  <si>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</si>
  <si>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Создание виртуальных концертных залов по результатам конкурсного отбора, проводимого Министерством культуры Российской Федерации</t>
  </si>
  <si>
    <t>Создание системы поддержки фермеров и развитие сельской кооперации</t>
  </si>
  <si>
    <t>11</t>
  </si>
  <si>
    <t>Плановые ассигнования</t>
  </si>
  <si>
    <t>На 01.08.2021</t>
  </si>
  <si>
    <t>исполнено</t>
  </si>
  <si>
    <t>На 20.08.2021</t>
  </si>
  <si>
    <t>09WE141890</t>
  </si>
  <si>
    <t>09WE153050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</si>
  <si>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</si>
  <si>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</si>
  <si>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</si>
  <si>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</si>
  <si>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11WP30И130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</si>
  <si>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</si>
  <si>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811</t>
  </si>
  <si>
    <t>821</t>
  </si>
  <si>
    <t>839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</si>
  <si>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</si>
  <si>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</si>
  <si>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</si>
  <si>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</si>
  <si>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</si>
  <si>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</si>
  <si>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</si>
  <si>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</si>
  <si>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</si>
  <si>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</si>
  <si>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</si>
  <si>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</si>
  <si>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</si>
  <si>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</si>
  <si>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</si>
  <si>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детских технопарков "Кванториум"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</si>
  <si>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</si>
  <si>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Создание новых мест в общеобразовательных организациях</t>
  </si>
  <si>
    <t>Оснащение отремонтированных зданий и (или) помещений общеобразовательных организаций современными средствами обучения и воспитания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</si>
  <si>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</si>
  <si>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815</t>
  </si>
  <si>
    <t>09WE141880</t>
  </si>
  <si>
    <t>09WE151730</t>
  </si>
  <si>
    <t>09WE153051</t>
  </si>
  <si>
    <t>09WE157501</t>
  </si>
  <si>
    <t>09WE164800</t>
  </si>
  <si>
    <t>816</t>
  </si>
  <si>
    <t>Создание (обновление) материально-технической базы образовательных организаций, реализующих программы среднего профессионального образования</t>
  </si>
  <si>
    <t>09WE653590</t>
  </si>
  <si>
    <t>20WD253540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</si>
  <si>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</si>
  <si>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Реализация мероприятий по созданию и организации работы единой службы оперативной помощи гражданам по номеру "122"</t>
  </si>
  <si>
    <t>825</t>
  </si>
  <si>
    <t>804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</si>
  <si>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</si>
  <si>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</si>
  <si>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</si>
  <si>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</si>
  <si>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</si>
  <si>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828</t>
  </si>
  <si>
    <t>838</t>
  </si>
  <si>
    <t>Региональный проект "Сохранение уникальных водных объектов"</t>
  </si>
  <si>
    <t>Развитие инфраструктуры дорожного хозяйства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</si>
  <si>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</si>
  <si>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18WR153890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</si>
  <si>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</si>
  <si>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</si>
  <si>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</si>
  <si>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</si>
  <si>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</si>
  <si>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</si>
  <si>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</si>
  <si>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</si>
  <si>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</si>
  <si>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</si>
  <si>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</si>
  <si>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</si>
  <si>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</si>
  <si>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</si>
  <si>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обществу с ограниченной ответственностью "Центр инновационного развития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</si>
  <si>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автономной некоммерческой организации "Томский региональный инжиниринговый центр"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</si>
  <si>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</si>
  <si>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</si>
  <si>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Субсидия Ассоциации инновационного развития АПК Томской области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</si>
  <si>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03WI555275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</si>
  <si>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</si>
  <si>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</si>
  <si>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</si>
  <si>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</si>
  <si>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* по данным сводной бюджетной росписи областного бюджета на 2022-2024 годы по состоянию на отчетную дату; лимиты бюджетных обязательств соответствуют плановым назначениям</t>
  </si>
  <si>
    <t>Подготовка проектной документации на объекты водоснабжения (в том числе проведение инженерных изысканий)</t>
  </si>
  <si>
    <t>19WF54П130</t>
  </si>
  <si>
    <t>Информационно-методическое сопровождение кружкового движения и организация проведения Национальной технологической олимпиады</t>
  </si>
  <si>
    <t>Региональный проект "Чистая вода", всего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</si>
  <si>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</si>
  <si>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Региональный проект "Цифровая культура"</t>
  </si>
  <si>
    <t>11WP30П130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</si>
  <si>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</si>
  <si>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</si>
  <si>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</si>
  <si>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</si>
  <si>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</si>
  <si>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</si>
  <si>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07WN352270</t>
  </si>
  <si>
    <t>Новое строительство и реконструкция</t>
  </si>
  <si>
    <t>07WN953655</t>
  </si>
  <si>
    <t>Реализация региональных проектов модернизации первичного звена здравоохранения (приобретение объектов недвижимого имущества для размещения медицинских организаций)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</si>
  <si>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</si>
  <si>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</si>
  <si>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</si>
  <si>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09WE14П010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</si>
  <si>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</si>
  <si>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09WP252320</t>
  </si>
  <si>
    <t>09WP252321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</si>
  <si>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</si>
  <si>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Развитие инфраструктуры дорожного хозяйства за счет средств резервного фонда Правительства Российской Федерации</t>
  </si>
  <si>
    <t>18WR15389F</t>
  </si>
  <si>
    <t>Региональный проект "Патриотическое воспитание граждан Российской Федерации"</t>
  </si>
  <si>
    <t>3.5</t>
  </si>
  <si>
    <t>Обеспечение оснащения государственных и муниципальных общеобразовательных организаций, в том числе структурных подразделений указанных организаций, государственными символами Российской Федерации</t>
  </si>
  <si>
    <t>09WEВ57860</t>
  </si>
  <si>
    <t xml:space="preserve">Осуществление авторского надзороа </t>
  </si>
  <si>
    <t>10WA155195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</si>
  <si>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</si>
  <si>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</si>
  <si>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</si>
  <si>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 xml:space="preserve">*** Бюджетные ассигнования за счёт средств федерального бюджета в сумме 302 282,9 тыс. рублей были предусмотрены в 2022 году в областном бюджете на приобретение школы на 1100 мест в мкр.Северный парк Томского района на основании соглашения, заключенного Томской областью с Минпросвещения России 24.12.2021. </t>
  </si>
  <si>
    <t xml:space="preserve">Фактически, в целях обеспечения начала учебного процесса раньше запланированных сроков, школа была приобретена в 2021 году за счёт выделения дополнительного объёма средств из областного бюджета.  14.06.2022 подписан акт сверки между Томской областью и Минпросвещения России на возмещение за счёт средств федерального бюджета расходов областного бюджета в сумме 302 282,9 тыс. рублей.  </t>
  </si>
  <si>
    <t>07WN953656</t>
  </si>
  <si>
    <t>Реализация региональных проектов модернизации первичного звена здравоохранения (авторский надзор при строительстве объектов капитального строительства медицинских организаций)</t>
  </si>
  <si>
    <t>13WF25424F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</si>
  <si>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 за счет средств резервного фонда Правительства Российской Федерации</t>
  </si>
  <si>
    <t>07WN95365F</t>
  </si>
  <si>
    <t>Реализация региональных проектов модернизации первичного звена здравоохранения за счет средств резервного фонда Правительства Российской Федерации</t>
  </si>
  <si>
    <t>10WA155191</t>
  </si>
  <si>
    <t>Капитальный ремонт объектов недвижимого имущества в сфере культуры</t>
  </si>
  <si>
    <t>03WL252891</t>
  </si>
  <si>
    <t>Процент исполнения по национальному проекту "Образование" с учетом возмещения за счёт средств федерального бюджета расходов областного бюджета составляет 44 %, по региональному проекту "Современная школа" - 36,1%.</t>
  </si>
  <si>
    <t>11WP15084F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</si>
  <si>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лет, за счет средств резервного фонда Правительства Российской Федерации</t>
  </si>
  <si>
    <t>09WEВ5179</t>
  </si>
  <si>
    <t>Финансовое обеспечение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</si>
  <si>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810</t>
  </si>
  <si>
    <t>26WG141260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</si>
  <si>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</si>
  <si>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03WL252892</t>
  </si>
  <si>
    <t>Функционирование учебной производственной площадки "Фабрика процессов"</t>
  </si>
  <si>
    <t>09WEВ5179F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</si>
  <si>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01.01.2023</t>
  </si>
  <si>
    <t>07WN352272</t>
  </si>
  <si>
    <t>Оснащение оборудованием, мебелью, медицинскими и иными изделиями объектов нового строительства и реконструкции медицинских организаций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</si>
</sst>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8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  <font>
      <sz val="11"/>
      <color rgb="FFFF0000"/>
      <name val="PT Astra Serif"/>
      <family val="1"/>
      <charset val="204"/>
    </font>
    <font>
      <b/>
      <i/>
      <sz val="14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4" xfId="0" applyFont="1" applyBorder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164" fontId="13" fillId="3" borderId="4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49" fontId="7" fillId="3" borderId="1" xfId="0" applyNumberFormat="1" applyFont="1" applyFill="1" applyBorder="1" applyAlignment="1">
      <alignment horizontal="center" vertical="center"/>
    </xf>
    <xf numFmtId="49" fontId="12" fillId="3" borderId="13" xfId="0" applyNumberFormat="1" applyFont="1" applyFill="1" applyBorder="1" applyAlignment="1" applyProtection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9" fontId="12" fillId="3" borderId="4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14" fillId="0" borderId="0" xfId="0" applyFont="1" applyAlignment="1">
      <alignment vertical="top" wrapText="1"/>
    </xf>
    <xf numFmtId="164" fontId="9" fillId="0" borderId="4" xfId="0" applyNumberFormat="1" applyFont="1" applyFill="1" applyBorder="1" applyAlignment="1">
      <alignment horizontal="right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/>
    <xf numFmtId="49" fontId="5" fillId="0" borderId="14" xfId="0" applyNumberFormat="1" applyFont="1" applyBorder="1" applyAlignment="1" applyProtection="1">
      <alignment horizontal="left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Border="1" applyAlignment="1" applyProtection="1">
      <alignment horizontal="left" vertical="center" wrapText="1"/>
    </xf>
    <xf numFmtId="49" fontId="5" fillId="0" borderId="16" xfId="0" applyNumberFormat="1" applyFont="1" applyBorder="1" applyAlignment="1" applyProtection="1">
      <alignment horizontal="left" vertical="center" wrapText="1"/>
    </xf>
    <xf numFmtId="0" fontId="7" fillId="0" borderId="4" xfId="0" applyFont="1" applyFill="1" applyBorder="1" applyAlignment="1">
      <alignment horizontal="center" vertical="top" wrapText="1"/>
    </xf>
    <xf numFmtId="164" fontId="2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4" fontId="10" fillId="0" borderId="4" xfId="0" applyNumberFormat="1" applyFont="1" applyFill="1" applyBorder="1" applyAlignment="1">
      <alignment horizontal="center" vertical="center" wrapText="1"/>
    </xf>
    <xf numFmtId="0" fontId="16" fillId="0" borderId="0" xfId="0" applyFont="1" applyFill="1"/>
    <xf numFmtId="164" fontId="17" fillId="0" borderId="4" xfId="0" applyNumberFormat="1" applyFont="1" applyFill="1" applyBorder="1" applyAlignment="1">
      <alignment horizontal="right" vertical="top" wrapText="1"/>
    </xf>
    <xf numFmtId="0" fontId="7" fillId="0" borderId="4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 wrapText="1"/>
    </xf>
    <xf numFmtId="164" fontId="13" fillId="2" borderId="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117" Type="http://schemas.openxmlformats.org/officeDocument/2006/relationships/revisionLog" Target="revisionLog14.xml"/><Relationship Id="rId141" Type="http://schemas.openxmlformats.org/officeDocument/2006/relationships/revisionLog" Target="revisionLog12.xml"/><Relationship Id="rId154" Type="http://schemas.openxmlformats.org/officeDocument/2006/relationships/revisionLog" Target="revisionLog18.xml"/><Relationship Id="rId146" Type="http://schemas.openxmlformats.org/officeDocument/2006/relationships/revisionLog" Target="revisionLog15.xml"/><Relationship Id="rId138" Type="http://schemas.openxmlformats.org/officeDocument/2006/relationships/revisionLog" Target="revisionLog111.xml"/><Relationship Id="rId120" Type="http://schemas.openxmlformats.org/officeDocument/2006/relationships/revisionLog" Target="revisionLog151.xml"/><Relationship Id="rId125" Type="http://schemas.openxmlformats.org/officeDocument/2006/relationships/revisionLog" Target="revisionLog16.xml"/><Relationship Id="rId133" Type="http://schemas.openxmlformats.org/officeDocument/2006/relationships/revisionLog" Target="revisionLog17.xml"/><Relationship Id="rId159" Type="http://schemas.openxmlformats.org/officeDocument/2006/relationships/revisionLog" Target="revisionLog13.xml"/><Relationship Id="rId167" Type="http://schemas.openxmlformats.org/officeDocument/2006/relationships/revisionLog" Target="revisionLog11.xml"/><Relationship Id="rId137" Type="http://schemas.openxmlformats.org/officeDocument/2006/relationships/revisionLog" Target="revisionLog112.xml"/><Relationship Id="rId129" Type="http://schemas.openxmlformats.org/officeDocument/2006/relationships/revisionLog" Target="revisionLog181.xml"/><Relationship Id="rId124" Type="http://schemas.openxmlformats.org/officeDocument/2006/relationships/revisionLog" Target="revisionLog171.xml"/><Relationship Id="rId116" Type="http://schemas.openxmlformats.org/officeDocument/2006/relationships/revisionLog" Target="revisionLog161.xml"/><Relationship Id="rId158" Type="http://schemas.openxmlformats.org/officeDocument/2006/relationships/revisionLog" Target="revisionLog131.xml"/><Relationship Id="rId162" Type="http://schemas.openxmlformats.org/officeDocument/2006/relationships/revisionLog" Target="revisionLog113.xml"/><Relationship Id="rId140" Type="http://schemas.openxmlformats.org/officeDocument/2006/relationships/revisionLog" Target="revisionLog122.xml"/><Relationship Id="rId145" Type="http://schemas.openxmlformats.org/officeDocument/2006/relationships/revisionLog" Target="revisionLog152.xml"/><Relationship Id="rId153" Type="http://schemas.openxmlformats.org/officeDocument/2006/relationships/revisionLog" Target="revisionLog110.xml"/><Relationship Id="rId132" Type="http://schemas.openxmlformats.org/officeDocument/2006/relationships/revisionLog" Target="revisionLog19.xml"/><Relationship Id="rId161" Type="http://schemas.openxmlformats.org/officeDocument/2006/relationships/revisionLog" Target="revisionLog1131.xml"/><Relationship Id="rId166" Type="http://schemas.openxmlformats.org/officeDocument/2006/relationships/revisionLog" Target="revisionLog114.xml"/><Relationship Id="rId149" Type="http://schemas.openxmlformats.org/officeDocument/2006/relationships/revisionLog" Target="revisionLog11311.xml"/><Relationship Id="rId144" Type="http://schemas.openxmlformats.org/officeDocument/2006/relationships/revisionLog" Target="revisionLog1521.xml"/><Relationship Id="rId115" Type="http://schemas.openxmlformats.org/officeDocument/2006/relationships/revisionLog" Target="revisionLog1711.xml"/><Relationship Id="rId123" Type="http://schemas.openxmlformats.org/officeDocument/2006/relationships/revisionLog" Target="revisionLog1811.xml"/><Relationship Id="rId128" Type="http://schemas.openxmlformats.org/officeDocument/2006/relationships/revisionLog" Target="revisionLog191.xml"/><Relationship Id="rId131" Type="http://schemas.openxmlformats.org/officeDocument/2006/relationships/revisionLog" Target="revisionLog1101.xml"/><Relationship Id="rId136" Type="http://schemas.openxmlformats.org/officeDocument/2006/relationships/revisionLog" Target="revisionLog1121.xml"/><Relationship Id="rId157" Type="http://schemas.openxmlformats.org/officeDocument/2006/relationships/revisionLog" Target="revisionLog1311.xml"/><Relationship Id="rId119" Type="http://schemas.openxmlformats.org/officeDocument/2006/relationships/revisionLog" Target="revisionLog18111.xml"/><Relationship Id="rId127" Type="http://schemas.openxmlformats.org/officeDocument/2006/relationships/revisionLog" Target="revisionLog1911.xml"/><Relationship Id="rId152" Type="http://schemas.openxmlformats.org/officeDocument/2006/relationships/revisionLog" Target="revisionLog1141.xml"/><Relationship Id="rId114" Type="http://schemas.openxmlformats.org/officeDocument/2006/relationships/revisionLog" Target="revisionLog17111.xml"/><Relationship Id="rId160" Type="http://schemas.openxmlformats.org/officeDocument/2006/relationships/revisionLog" Target="revisionLog116.xml"/><Relationship Id="rId165" Type="http://schemas.openxmlformats.org/officeDocument/2006/relationships/revisionLog" Target="revisionLog115.xml"/><Relationship Id="rId143" Type="http://schemas.openxmlformats.org/officeDocument/2006/relationships/revisionLog" Target="revisionLog15211.xml"/><Relationship Id="rId151" Type="http://schemas.openxmlformats.org/officeDocument/2006/relationships/revisionLog" Target="revisionLog11411.xml"/><Relationship Id="rId148" Type="http://schemas.openxmlformats.org/officeDocument/2006/relationships/revisionLog" Target="revisionLog113111.xml"/><Relationship Id="rId122" Type="http://schemas.openxmlformats.org/officeDocument/2006/relationships/revisionLog" Target="revisionLog19111.xml"/><Relationship Id="rId130" Type="http://schemas.openxmlformats.org/officeDocument/2006/relationships/revisionLog" Target="revisionLog11011.xml"/><Relationship Id="rId135" Type="http://schemas.openxmlformats.org/officeDocument/2006/relationships/revisionLog" Target="revisionLog11211.xml"/><Relationship Id="rId156" Type="http://schemas.openxmlformats.org/officeDocument/2006/relationships/revisionLog" Target="revisionLog13111.xml"/><Relationship Id="rId164" Type="http://schemas.openxmlformats.org/officeDocument/2006/relationships/revisionLog" Target="revisionLog1151.xml"/><Relationship Id="rId169" Type="http://schemas.openxmlformats.org/officeDocument/2006/relationships/revisionLog" Target="revisionLog1.xml"/><Relationship Id="rId147" Type="http://schemas.openxmlformats.org/officeDocument/2006/relationships/revisionLog" Target="revisionLog1131111.xml"/><Relationship Id="rId139" Type="http://schemas.openxmlformats.org/officeDocument/2006/relationships/revisionLog" Target="revisionLog1221.xml"/><Relationship Id="rId113" Type="http://schemas.openxmlformats.org/officeDocument/2006/relationships/revisionLog" Target="revisionLog181111.xml"/><Relationship Id="rId118" Type="http://schemas.openxmlformats.org/officeDocument/2006/relationships/revisionLog" Target="revisionLog191111.xml"/><Relationship Id="rId126" Type="http://schemas.openxmlformats.org/officeDocument/2006/relationships/revisionLog" Target="revisionLog110111.xml"/><Relationship Id="rId134" Type="http://schemas.openxmlformats.org/officeDocument/2006/relationships/revisionLog" Target="revisionLog112111.xml"/><Relationship Id="rId168" Type="http://schemas.openxmlformats.org/officeDocument/2006/relationships/revisionLog" Target="revisionLog117.xml"/><Relationship Id="rId150" Type="http://schemas.openxmlformats.org/officeDocument/2006/relationships/revisionLog" Target="revisionLog11511.xml"/><Relationship Id="rId142" Type="http://schemas.openxmlformats.org/officeDocument/2006/relationships/revisionLog" Target="revisionLog114111.xml"/><Relationship Id="rId155" Type="http://schemas.openxmlformats.org/officeDocument/2006/relationships/revisionLog" Target="revisionLog1171.xml"/><Relationship Id="rId121" Type="http://schemas.openxmlformats.org/officeDocument/2006/relationships/revisionLog" Target="revisionLog152111.xml"/><Relationship Id="rId163" Type="http://schemas.openxmlformats.org/officeDocument/2006/relationships/revisionLog" Target="revisionLog118.xml"/></Relationships>
</file>

<file path=xl/revisions/revisionHeaders.xml><?xml version="1.0" encoding="utf-8"?>
<headers xmlns="http://schemas.openxmlformats.org/spreadsheetml/2006/main" xmlns:r="http://schemas.openxmlformats.org/officeDocument/2006/relationships" guid="{71889B34-D91B-4ED8-95CA-FC97D15CE5C2}" diskRevisions="1" revisionId="1757" version="169">
  <header guid="{EDE061C4-6CBC-4256-8E39-5C3EE14726B8}" dateTime="2022-12-02T10:36:47" maxSheetId="3" userName="nma" r:id="rId113" minRId="1143" maxRId="1156">
    <sheetIdMap count="2">
      <sheetId val="1"/>
      <sheetId val="2"/>
    </sheetIdMap>
  </header>
  <header guid="{1053D81D-B777-444D-8170-D6FAD1D20963}" dateTime="2022-12-02T10:40:54" maxSheetId="3" userName="pvn" r:id="rId114" minRId="1162" maxRId="1193">
    <sheetIdMap count="2">
      <sheetId val="1"/>
      <sheetId val="2"/>
    </sheetIdMap>
  </header>
  <header guid="{318A68B0-1160-4074-B3E0-D098F9679AC2}" dateTime="2022-12-02T10:44:23" maxSheetId="3" userName="pvn" r:id="rId115">
    <sheetIdMap count="2">
      <sheetId val="1"/>
      <sheetId val="2"/>
    </sheetIdMap>
  </header>
  <header guid="{A41D684B-EF83-4EE6-82EE-32B12F55FC41}" dateTime="2022-12-02T10:46:14" maxSheetId="3" userName="nma" r:id="rId116">
    <sheetIdMap count="2">
      <sheetId val="1"/>
      <sheetId val="2"/>
    </sheetIdMap>
  </header>
  <header guid="{A8B753A8-B9E4-496A-A43E-296D561D73D8}" dateTime="2022-12-02T10:48:10" maxSheetId="3" userName="nma" r:id="rId117" minRId="1209" maxRId="1216">
    <sheetIdMap count="2">
      <sheetId val="1"/>
      <sheetId val="2"/>
    </sheetIdMap>
  </header>
  <header guid="{66D12C24-94A2-40BF-B5F3-A98531D892CD}" dateTime="2022-12-02T10:51:38" maxSheetId="3" userName="nma" r:id="rId118" minRId="1222" maxRId="1231">
    <sheetIdMap count="2">
      <sheetId val="1"/>
      <sheetId val="2"/>
    </sheetIdMap>
  </header>
  <header guid="{432ABC31-922A-4EA7-B8D7-E027F82391F8}" dateTime="2022-12-02T10:53:15" maxSheetId="3" userName="nma" r:id="rId119" minRId="1237">
    <sheetIdMap count="2">
      <sheetId val="1"/>
      <sheetId val="2"/>
    </sheetIdMap>
  </header>
  <header guid="{E57AF3C0-FF97-4953-909F-E403C60B997F}" dateTime="2022-12-02T10:56:20" maxSheetId="3" userName="nma" r:id="rId120">
    <sheetIdMap count="2">
      <sheetId val="1"/>
      <sheetId val="2"/>
    </sheetIdMap>
  </header>
  <header guid="{063E7E75-9018-4496-9018-61C92A855400}" dateTime="2022-12-02T10:57:16" maxSheetId="3" userName="nma" r:id="rId121">
    <sheetIdMap count="2">
      <sheetId val="1"/>
      <sheetId val="2"/>
    </sheetIdMap>
  </header>
  <header guid="{BBE4BCE7-4DE9-433B-8820-510159627536}" dateTime="2022-12-02T11:00:27" maxSheetId="3" userName="nma" r:id="rId122" minRId="1253" maxRId="1262">
    <sheetIdMap count="2">
      <sheetId val="1"/>
      <sheetId val="2"/>
    </sheetIdMap>
  </header>
  <header guid="{EEAC04BF-8937-43DC-8098-FFA11B29BEAE}" dateTime="2022-12-02T11:01:25" maxSheetId="3" userName="pvn" r:id="rId123" minRId="1268">
    <sheetIdMap count="2">
      <sheetId val="1"/>
      <sheetId val="2"/>
    </sheetIdMap>
  </header>
  <header guid="{53110EE4-7648-4F0C-985D-FA1B260BB64D}" dateTime="2022-12-02T11:02:36" maxSheetId="3" userName="nma" r:id="rId124" minRId="1274" maxRId="1275">
    <sheetIdMap count="2">
      <sheetId val="1"/>
      <sheetId val="2"/>
    </sheetIdMap>
  </header>
  <header guid="{F3A55760-A23B-4F1A-B55B-396783A51867}" dateTime="2022-12-02T11:02:41" maxSheetId="3" userName="nma" r:id="rId125">
    <sheetIdMap count="2">
      <sheetId val="1"/>
      <sheetId val="2"/>
    </sheetIdMap>
  </header>
  <header guid="{8C7E5834-932E-43F7-99DE-3F7D24F0375F}" dateTime="2022-12-02T11:03:54" maxSheetId="3" userName="nma" r:id="rId126" minRId="1286" maxRId="1288">
    <sheetIdMap count="2">
      <sheetId val="1"/>
      <sheetId val="2"/>
    </sheetIdMap>
  </header>
  <header guid="{A100DF38-2D76-48E9-BCC7-CFC7F6125D23}" dateTime="2022-12-02T11:04:55" maxSheetId="3" userName="nma" r:id="rId127" minRId="1294" maxRId="1297">
    <sheetIdMap count="2">
      <sheetId val="1"/>
      <sheetId val="2"/>
    </sheetIdMap>
  </header>
  <header guid="{56FCF77C-8E5A-4AF9-B8D9-D63E10C0E92F}" dateTime="2022-12-02T11:06:03" maxSheetId="3" userName="nma" r:id="rId128" minRId="1303" maxRId="1304">
    <sheetIdMap count="2">
      <sheetId val="1"/>
      <sheetId val="2"/>
    </sheetIdMap>
  </header>
  <header guid="{A6C6F1F5-6AE8-4048-9692-FF8C8EB84931}" dateTime="2022-12-02T11:06:29" maxSheetId="3" userName="nma" r:id="rId129" minRId="1310">
    <sheetIdMap count="2">
      <sheetId val="1"/>
      <sheetId val="2"/>
    </sheetIdMap>
  </header>
  <header guid="{DB80393D-5232-466F-8216-A1A9527B4519}" dateTime="2022-12-02T11:06:50" maxSheetId="3" userName="nma" r:id="rId130">
    <sheetIdMap count="2">
      <sheetId val="1"/>
      <sheetId val="2"/>
    </sheetIdMap>
  </header>
  <header guid="{2F6589D4-306C-4D05-B77C-EFA1D289DEB2}" dateTime="2022-12-02T11:12:10" maxSheetId="3" userName="nma" r:id="rId131" minRId="1321" maxRId="1323">
    <sheetIdMap count="2">
      <sheetId val="1"/>
      <sheetId val="2"/>
    </sheetIdMap>
  </header>
  <header guid="{2C385618-2647-4A07-9300-C91244C922CA}" dateTime="2022-12-02T11:14:48" maxSheetId="3" userName="pvn" r:id="rId132" minRId="1329" maxRId="1332">
    <sheetIdMap count="2">
      <sheetId val="1"/>
      <sheetId val="2"/>
    </sheetIdMap>
  </header>
  <header guid="{54AC5BB9-F4EB-4068-ABB9-87FD0E2CF8BD}" dateTime="2022-12-02T11:15:33" maxSheetId="3" userName="pvn" r:id="rId133">
    <sheetIdMap count="2">
      <sheetId val="1"/>
      <sheetId val="2"/>
    </sheetIdMap>
  </header>
  <header guid="{8F0432C4-9213-42A4-8169-C2660ADE2175}" dateTime="2022-12-02T11:30:02" maxSheetId="3" userName="nma" r:id="rId134">
    <sheetIdMap count="2">
      <sheetId val="1"/>
      <sheetId val="2"/>
    </sheetIdMap>
  </header>
  <header guid="{763E36D7-798C-4A49-93D5-BB46A1D0E84B}" dateTime="2022-12-02T11:30:44" maxSheetId="3" userName="nma" r:id="rId135" minRId="1348">
    <sheetIdMap count="2">
      <sheetId val="1"/>
      <sheetId val="2"/>
    </sheetIdMap>
  </header>
  <header guid="{D3946FBA-AD58-478E-B028-6C59136A4F7C}" dateTime="2022-12-02T11:30:56" maxSheetId="3" userName="nma" r:id="rId136">
    <sheetIdMap count="2">
      <sheetId val="1"/>
      <sheetId val="2"/>
    </sheetIdMap>
  </header>
  <header guid="{B941A899-F0E7-46C0-AE66-593ECECC992A}" dateTime="2022-12-02T11:32:08" maxSheetId="3" userName="nma" r:id="rId137">
    <sheetIdMap count="2">
      <sheetId val="1"/>
      <sheetId val="2"/>
    </sheetIdMap>
  </header>
  <header guid="{6FCD8514-9DCC-4F0D-8B8A-FD1E881F6DF2}" dateTime="2022-12-02T11:32:21" maxSheetId="3" userName="nma" r:id="rId138">
    <sheetIdMap count="2">
      <sheetId val="1"/>
      <sheetId val="2"/>
    </sheetIdMap>
  </header>
  <header guid="{E3F4BF9E-3A37-4994-89D5-DDEE2F6FD26C}" dateTime="2022-12-02T11:32:34" maxSheetId="3" userName="pvn" r:id="rId139" minRId="1369" maxRId="1380">
    <sheetIdMap count="2">
      <sheetId val="1"/>
      <sheetId val="2"/>
    </sheetIdMap>
  </header>
  <header guid="{2E606320-D088-4AE9-9D5C-38CE6EAAA506}" dateTime="2022-12-02T11:33:01" maxSheetId="3" userName="pvn" r:id="rId140" minRId="1386" maxRId="1397">
    <sheetIdMap count="2">
      <sheetId val="1"/>
      <sheetId val="2"/>
    </sheetIdMap>
  </header>
  <header guid="{9CFE5900-52C1-45BB-BBB2-BE6D87172771}" dateTime="2022-12-02T11:33:03" maxSheetId="3" userName="pvn" r:id="rId141">
    <sheetIdMap count="2">
      <sheetId val="1"/>
      <sheetId val="2"/>
    </sheetIdMap>
  </header>
  <header guid="{1564D4F9-16FE-4ABE-A3DD-8980EC41E12F}" dateTime="2022-12-02T11:36:16" maxSheetId="3" userName="nma" r:id="rId142">
    <sheetIdMap count="2">
      <sheetId val="1"/>
      <sheetId val="2"/>
    </sheetIdMap>
  </header>
  <header guid="{25D91C2C-452B-455A-B739-33E5F3FD41AA}" dateTime="2022-12-02T11:36:48" maxSheetId="3" userName="nma" r:id="rId143">
    <sheetIdMap count="2">
      <sheetId val="1"/>
      <sheetId val="2"/>
    </sheetIdMap>
  </header>
  <header guid="{E6CFF3C4-DE1A-4E91-B1E0-FB2C7ED9EC79}" dateTime="2022-12-09T09:27:06" maxSheetId="3" userName="nma" r:id="rId144" minRId="1418">
    <sheetIdMap count="2">
      <sheetId val="1"/>
      <sheetId val="2"/>
    </sheetIdMap>
  </header>
  <header guid="{BAA38EC6-3E09-47B3-8755-80B4FAF9ED2D}" dateTime="2022-12-09T14:12:20" maxSheetId="3" userName="bys" r:id="rId145">
    <sheetIdMap count="2">
      <sheetId val="1"/>
      <sheetId val="2"/>
    </sheetIdMap>
  </header>
  <header guid="{D005D8B4-54E9-49EC-ACE9-4C0A739CDBC0}" dateTime="2022-12-20T17:36:18" maxSheetId="3" userName="slv" r:id="rId146">
    <sheetIdMap count="2">
      <sheetId val="1"/>
      <sheetId val="2"/>
    </sheetIdMap>
  </header>
  <header guid="{A7E60155-E357-4733-964B-DEFF5F4B5471}" dateTime="2022-12-30T15:49:32" maxSheetId="3" userName="pvn" r:id="rId147" minRId="1434">
    <sheetIdMap count="2">
      <sheetId val="1"/>
      <sheetId val="2"/>
    </sheetIdMap>
  </header>
  <header guid="{29AB4CE7-EA01-4B92-AB33-0FF57A6A9FB4}" dateTime="2023-01-09T10:30:21" maxSheetId="3" userName="pvn" r:id="rId148" minRId="1440" maxRId="1471">
    <sheetIdMap count="2">
      <sheetId val="1"/>
      <sheetId val="2"/>
    </sheetIdMap>
  </header>
  <header guid="{6D71C4CA-E73F-4B56-A378-20E48FFEE564}" dateTime="2023-01-09T11:02:35" maxSheetId="3" userName="pvn" r:id="rId149" minRId="1477" maxRId="1502">
    <sheetIdMap count="2">
      <sheetId val="1"/>
      <sheetId val="2"/>
    </sheetIdMap>
  </header>
  <header guid="{F4A7A114-E685-4B94-B567-D5C15E83C42B}" dateTime="2023-01-09T11:16:43" maxSheetId="3" userName="pvn" r:id="rId150" minRId="1508" maxRId="1530">
    <sheetIdMap count="2">
      <sheetId val="1"/>
      <sheetId val="2"/>
    </sheetIdMap>
  </header>
  <header guid="{1873B6E8-9020-48E4-9EB3-56E490B281FB}" dateTime="2023-01-09T11:38:46" maxSheetId="3" userName="pvn" r:id="rId151" minRId="1536" maxRId="1560">
    <sheetIdMap count="2">
      <sheetId val="1"/>
      <sheetId val="2"/>
    </sheetIdMap>
  </header>
  <header guid="{E4215913-0DE7-4323-B57D-81FF3F4B878F}" dateTime="2023-01-09T11:49:12" maxSheetId="3" userName="pvn" r:id="rId152" minRId="1566" maxRId="1577">
    <sheetIdMap count="2">
      <sheetId val="1"/>
      <sheetId val="2"/>
    </sheetIdMap>
  </header>
  <header guid="{690E0E3B-893E-4997-8312-11BB260B564D}" dateTime="2023-01-09T11:50:59" maxSheetId="3" userName="pvn" r:id="rId153" minRId="1583" maxRId="1594">
    <sheetIdMap count="2">
      <sheetId val="1"/>
      <sheetId val="2"/>
    </sheetIdMap>
  </header>
  <header guid="{0E506237-86A8-4F8E-8F5E-21E7B36D5B1C}" dateTime="2023-01-09T11:52:19" maxSheetId="3" userName="pvn" r:id="rId154">
    <sheetIdMap count="2">
      <sheetId val="1"/>
      <sheetId val="2"/>
    </sheetIdMap>
  </header>
  <header guid="{5725E658-8D58-48CE-9CB6-3743CE387B06}" dateTime="2023-01-09T11:54:41" maxSheetId="3" userName="pvn" r:id="rId155">
    <sheetIdMap count="2">
      <sheetId val="1"/>
      <sheetId val="2"/>
    </sheetIdMap>
  </header>
  <header guid="{2270D4A7-C2B7-4014-8F91-1B0831AA3D4B}" dateTime="2023-01-11T10:32:15" maxSheetId="3" userName="pvn" r:id="rId156" minRId="1610" maxRId="1612">
    <sheetIdMap count="2">
      <sheetId val="1"/>
      <sheetId val="2"/>
    </sheetIdMap>
  </header>
  <header guid="{5762D56A-30A2-4AA7-AAFA-77F50DF0F55F}" dateTime="2023-01-11T11:06:58" maxSheetId="3" userName="pvn" r:id="rId157" minRId="1618" maxRId="1658">
    <sheetIdMap count="2">
      <sheetId val="1"/>
      <sheetId val="2"/>
    </sheetIdMap>
  </header>
  <header guid="{35B8A562-B28B-4B35-9B5B-A87B68B6D05F}" dateTime="2023-01-11T11:09:09" maxSheetId="3" userName="pvn" r:id="rId158">
    <sheetIdMap count="2">
      <sheetId val="1"/>
      <sheetId val="2"/>
    </sheetIdMap>
  </header>
  <header guid="{89DEE73C-0A24-4F0B-B1E8-A673443CF0EF}" dateTime="2023-01-11T11:09:58" maxSheetId="3" userName="pvn" r:id="rId159">
    <sheetIdMap count="2">
      <sheetId val="1"/>
      <sheetId val="2"/>
    </sheetIdMap>
  </header>
  <header guid="{555C1328-0CA0-49A6-B0B3-E82A18C1D97E}" dateTime="2023-01-11T11:29:14" maxSheetId="3" userName="pvn" r:id="rId160" minRId="1674" maxRId="1678">
    <sheetIdMap count="2">
      <sheetId val="1"/>
      <sheetId val="2"/>
    </sheetIdMap>
  </header>
  <header guid="{A052465B-D3D6-4B38-AE33-41D0F0CF7E02}" dateTime="2023-01-11T11:29:17" maxSheetId="3" userName="pvn" r:id="rId161">
    <sheetIdMap count="2">
      <sheetId val="1"/>
      <sheetId val="2"/>
    </sheetIdMap>
  </header>
  <header guid="{18051686-4AB5-4EEB-8A00-11B9A144BC1E}" dateTime="2023-01-11T11:39:04" maxSheetId="3" userName="pvn" r:id="rId162" minRId="1689">
    <sheetIdMap count="2">
      <sheetId val="1"/>
      <sheetId val="2"/>
    </sheetIdMap>
  </header>
  <header guid="{0EEB10F9-9B68-420E-8E6D-2D6351756AC8}" dateTime="2023-01-11T11:39:10" maxSheetId="3" userName="pvn" r:id="rId163">
    <sheetIdMap count="2">
      <sheetId val="1"/>
      <sheetId val="2"/>
    </sheetIdMap>
  </header>
  <header guid="{70D02275-C137-4EAE-BD5E-4FE621A96C2F}" dateTime="2023-01-11T12:08:04" maxSheetId="3" userName="gmp" r:id="rId164">
    <sheetIdMap count="2">
      <sheetId val="1"/>
      <sheetId val="2"/>
    </sheetIdMap>
  </header>
  <header guid="{05FEDF9B-DF5C-4130-B5DA-6082C234A043}" dateTime="2023-02-20T10:26:17" maxSheetId="3" userName="pvn" r:id="rId165" minRId="1705" maxRId="1731">
    <sheetIdMap count="2">
      <sheetId val="1"/>
      <sheetId val="2"/>
    </sheetIdMap>
  </header>
  <header guid="{F4F70102-EA33-4FBB-8E21-100262FF4812}" dateTime="2023-02-20T10:33:28" maxSheetId="3" userName="pvn" r:id="rId166">
    <sheetIdMap count="2">
      <sheetId val="1"/>
      <sheetId val="2"/>
    </sheetIdMap>
  </header>
  <header guid="{A6DE1450-8B7E-425D-A589-5E01E2551EBC}" dateTime="2023-02-20T10:36:45" maxSheetId="3" userName="pvn" r:id="rId167" minRId="1742">
    <sheetIdMap count="2">
      <sheetId val="1"/>
      <sheetId val="2"/>
    </sheetIdMap>
  </header>
  <header guid="{080BFD17-C7C6-4D77-8C2A-5D9AAF10C94F}" dateTime="2023-02-20T10:37:00" maxSheetId="3" userName="pvn" r:id="rId168">
    <sheetIdMap count="2">
      <sheetId val="1"/>
      <sheetId val="2"/>
    </sheetIdMap>
  </header>
  <header guid="{71889B34-D91B-4ED8-95CA-FC97D15CE5C2}" dateTime="2023-02-20T10:37:07" maxSheetId="3" userName="pvn" r:id="rId169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F6FA4751-5470-442B-8CE2-1DF7C5920E7E}" action="delete"/>
  <rdn rId="0" localSheetId="1" customView="1" name="Z_F6FA4751_5470_442B_8CE2_1DF7C5920E7E_.wvu.PrintArea" hidden="1" oldHidden="1">
    <formula>Лист1!$A$1:$V$217</formula>
    <oldFormula>Лист1!$A$1:$V$217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Лист1!$E$12:$E$217</formula>
    <oldFormula>Лист1!$E$12:$E$217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fmt sheetId="1" sqref="G9:U9">
    <dxf>
      <fill>
        <patternFill>
          <bgColor theme="6" tint="0.59999389629810485"/>
        </patternFill>
      </fill>
    </dxf>
  </rfmt>
  <rfmt sheetId="1" sqref="G37:T37">
    <dxf>
      <fill>
        <patternFill>
          <bgColor theme="6" tint="0.59999389629810485"/>
        </patternFill>
      </fill>
    </dxf>
  </rfmt>
  <rfmt sheetId="1" sqref="G69:T69">
    <dxf>
      <fill>
        <patternFill>
          <bgColor theme="6" tint="0.59999389629810485"/>
        </patternFill>
      </fill>
    </dxf>
  </rfmt>
  <rfmt sheetId="1" sqref="G109:U109">
    <dxf>
      <fill>
        <patternFill>
          <bgColor theme="6" tint="0.59999389629810485"/>
        </patternFill>
      </fill>
    </dxf>
  </rfmt>
  <rfmt sheetId="1" sqref="G118:T118">
    <dxf>
      <fill>
        <patternFill>
          <bgColor theme="6" tint="0.59999389629810485"/>
        </patternFill>
      </fill>
    </dxf>
  </rfmt>
  <rfmt sheetId="1" sqref="G134:T134">
    <dxf>
      <fill>
        <patternFill>
          <bgColor theme="6" tint="0.59999389629810485"/>
        </patternFill>
      </fill>
    </dxf>
  </rfmt>
  <rfmt sheetId="1" sqref="G147:T147">
    <dxf>
      <fill>
        <patternFill>
          <bgColor theme="6" tint="0.59999389629810485"/>
        </patternFill>
      </fill>
    </dxf>
  </rfmt>
  <rfmt sheetId="1" sqref="G164:U164">
    <dxf>
      <fill>
        <patternFill>
          <bgColor theme="6" tint="0.59999389629810485"/>
        </patternFill>
      </fill>
    </dxf>
  </rfmt>
  <rfmt sheetId="1" sqref="G185:T185">
    <dxf>
      <fill>
        <patternFill>
          <bgColor theme="6" tint="0.59999389629810485"/>
        </patternFill>
      </fill>
    </dxf>
  </rfmt>
  <rfmt sheetId="1" sqref="G203:T203">
    <dxf>
      <fill>
        <patternFill>
          <bgColor theme="6" tint="0.59999389629810485"/>
        </patternFill>
      </fill>
    </dxf>
  </rfmt>
  <rfmt sheetId="1" sqref="G211:U211">
    <dxf>
      <fill>
        <patternFill>
          <bgColor theme="6" tint="0.59999389629810485"/>
        </patternFill>
      </fill>
    </dxf>
  </rfmt>
  <rcc rId="1742" sId="1">
    <nc r="B53" t="inlineStr">
      <is>
        <t>Оснащение оборудованием, мебелью, медицинскими и иными изделиями объектов нового строительства и реконструкции медицинских организаций</t>
      </is>
    </nc>
  </rcc>
  <rcv guid="{F6FA4751-5470-442B-8CE2-1DF7C5920E7E}" action="delete"/>
  <rdn rId="0" localSheetId="1" customView="1" name="Z_F6FA4751_5470_442B_8CE2_1DF7C5920E7E_.wvu.PrintArea" hidden="1" oldHidden="1">
    <formula>Лист1!$A$1:$V$217</formula>
    <oldFormula>Лист1!$A$1:$V$217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Лист1!$E$12:$E$217</formula>
    <oldFormula>Лист1!$E$12:$E$217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c rId="1209" sId="1" numFmtId="4">
    <nc r="X9">
      <v>558237.5</v>
    </nc>
  </rcc>
  <rcc rId="1210" sId="1" numFmtId="4">
    <nc r="X10">
      <v>399802.6</v>
    </nc>
  </rcc>
  <rcc rId="1211" sId="1" numFmtId="4">
    <nc r="X12">
      <v>157729.20000000001</v>
    </nc>
  </rcc>
  <rcc rId="1212" sId="1" numFmtId="4">
    <nc r="X13">
      <v>135357.70000000001</v>
    </nc>
  </rcc>
  <rcc rId="1213" sId="1">
    <nc r="Y9">
      <f>I8-X9</f>
    </nc>
  </rcc>
  <rcc rId="1214" sId="1">
    <nc r="Y10">
      <f>X10-M8</f>
    </nc>
  </rcc>
  <rcc rId="1215" sId="1">
    <nc r="Y12">
      <f>X12-Q8</f>
    </nc>
  </rcc>
  <rcc rId="1216" sId="1">
    <nc r="Y13">
      <f>X13-U8</f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dn rId="0" localSheetId="1" customView="1" name="Z_C3184F73_54AF_4F22_946A_A08664393BAF_.wvu.PrintArea" hidden="1" oldHidden="1">
    <formula>Лист1!$A$1:$V$216</formula>
  </rdn>
  <rdn rId="0" localSheetId="1" customView="1" name="Z_C3184F73_54AF_4F22_946A_A08664393BAF_.wvu.PrintTitles" hidden="1" oldHidden="1">
    <formula>Лист1!$4:$7</formula>
  </rdn>
  <rdn rId="0" localSheetId="1" customView="1" name="Z_C3184F73_54AF_4F22_946A_A08664393BAF_.wvu.FilterData" hidden="1" oldHidden="1">
    <formula>Лист1!$E$12:$E$216</formula>
  </rdn>
  <rdn rId="0" localSheetId="2" customView="1" name="Z_C3184F73_54AF_4F22_946A_A08664393BAF_.wvu.PrintArea" hidden="1" oldHidden="1">
    <formula>Лист2!$A$1:$O$19</formula>
  </rdn>
  <rdn rId="0" localSheetId="2" customView="1" name="Z_C3184F73_54AF_4F22_946A_A08664393BAF_.wvu.Cols" hidden="1" oldHidden="1">
    <formula>Лист2!$F:$G</formula>
  </rdn>
  <rcv guid="{C3184F73-54AF-4F22-946A-A08664393BAF}" action="add"/>
</revisions>
</file>

<file path=xl/revisions/revisionLog16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7.xml><?xml version="1.0" encoding="utf-8"?>
<revisions xmlns="http://schemas.openxmlformats.org/spreadsheetml/2006/main" xmlns:r="http://schemas.openxmlformats.org/officeDocument/2006/relationships"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8.xml><?xml version="1.0" encoding="utf-8"?>
<revisions xmlns="http://schemas.openxmlformats.org/spreadsheetml/2006/main" xmlns:r="http://schemas.openxmlformats.org/officeDocument/2006/relationships">
  <rfmt sheetId="1" sqref="F9:P9">
    <dxf>
      <fill>
        <patternFill>
          <bgColor theme="6" tint="0.59999389629810485"/>
        </patternFill>
      </fill>
    </dxf>
  </rfmt>
  <rfmt sheetId="1" sqref="F37:P37">
    <dxf>
      <fill>
        <patternFill>
          <bgColor theme="6" tint="0.59999389629810485"/>
        </patternFill>
      </fill>
    </dxf>
  </rfmt>
  <rfmt sheetId="1" sqref="F68:Q68">
    <dxf>
      <fill>
        <patternFill>
          <bgColor theme="6" tint="0.59999389629810485"/>
        </patternFill>
      </fill>
    </dxf>
  </rfmt>
  <rfmt sheetId="1" sqref="F108:P108">
    <dxf>
      <fill>
        <patternFill>
          <bgColor theme="6" tint="0.59999389629810485"/>
        </patternFill>
      </fill>
    </dxf>
  </rfmt>
  <rfmt sheetId="1" sqref="F117:P117">
    <dxf>
      <fill>
        <patternFill>
          <bgColor theme="6" tint="0.59999389629810485"/>
        </patternFill>
      </fill>
    </dxf>
  </rfmt>
  <rfmt sheetId="1" sqref="F133:P133">
    <dxf>
      <fill>
        <patternFill>
          <bgColor theme="6" tint="0.59999389629810485"/>
        </patternFill>
      </fill>
    </dxf>
  </rfmt>
  <rfmt sheetId="1" sqref="F146:Q146">
    <dxf>
      <fill>
        <patternFill>
          <bgColor theme="6" tint="0.59999389629810485"/>
        </patternFill>
      </fill>
    </dxf>
  </rfmt>
  <rfmt sheetId="1" sqref="F163:Q163">
    <dxf>
      <fill>
        <patternFill>
          <bgColor theme="6" tint="0.59999389629810485"/>
        </patternFill>
      </fill>
    </dxf>
  </rfmt>
  <rfmt sheetId="1" sqref="F184:R184">
    <dxf>
      <fill>
        <patternFill>
          <bgColor theme="6" tint="0.59999389629810485"/>
        </patternFill>
      </fill>
    </dxf>
  </rfmt>
  <rfmt sheetId="1" sqref="F202:P202">
    <dxf>
      <fill>
        <patternFill>
          <bgColor theme="6" tint="0.59999389629810485"/>
        </patternFill>
      </fill>
    </dxf>
  </rfmt>
  <rfmt sheetId="1" sqref="F210:P210">
    <dxf>
      <fill>
        <patternFill>
          <bgColor theme="6" tint="0.59999389629810485"/>
        </patternFill>
      </fill>
    </dxf>
  </rfmt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9.xml><?xml version="1.0" encoding="utf-8"?>
<revisions xmlns="http://schemas.openxmlformats.org/spreadsheetml/2006/main" xmlns:r="http://schemas.openxmlformats.org/officeDocument/2006/relationships">
  <rcc rId="1329" sId="1" numFmtId="4">
    <nc r="Q77">
      <v>10000</v>
    </nc>
  </rcc>
  <rcc rId="1330" sId="1" numFmtId="4">
    <nc r="Q80">
      <v>270.3</v>
    </nc>
  </rcc>
  <rcc rId="1331" sId="1" numFmtId="4">
    <nc r="Q169">
      <v>1134.0999999999999</v>
    </nc>
  </rcc>
  <rcc rId="1332" sId="1" numFmtId="4">
    <oc r="Q180">
      <v>41.7</v>
    </oc>
    <nc r="Q180">
      <v>41.6</v>
    </nc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0.xml><?xml version="1.0" encoding="utf-8"?>
<revisions xmlns="http://schemas.openxmlformats.org/spreadsheetml/2006/main" xmlns:r="http://schemas.openxmlformats.org/officeDocument/2006/relationships">
  <rcc rId="1583" sId="1">
    <oc r="X7">
      <v>17445980.579999998</v>
    </oc>
    <nc r="X7"/>
  </rcc>
  <rcc rId="1584" sId="1">
    <oc r="Y7">
      <v>14068480.91</v>
    </oc>
    <nc r="Y7"/>
  </rcc>
  <rcc rId="1585" sId="1">
    <oc r="Z7">
      <v>15421491.390000001</v>
    </oc>
    <nc r="Z7"/>
  </rcc>
  <rcc rId="1586" sId="1">
    <oc r="AA7">
      <v>14555838.43</v>
    </oc>
    <nc r="AA7"/>
  </rcc>
  <rcc rId="1587" sId="1">
    <oc r="X8">
      <f>G8+H8</f>
    </oc>
    <nc r="X8"/>
  </rcc>
  <rcc rId="1588" sId="1">
    <oc r="Y8">
      <f>K8+L8</f>
    </oc>
    <nc r="Y8"/>
  </rcc>
  <rcc rId="1589" sId="1">
    <oc r="Z8">
      <f>O8+P8</f>
    </oc>
    <nc r="Z8"/>
  </rcc>
  <rcc rId="1590" sId="1">
    <oc r="AA8">
      <f>S8+T8</f>
    </oc>
    <nc r="AA8"/>
  </rcc>
  <rcc rId="1591" sId="1">
    <oc r="X9">
      <f>X7-X8</f>
    </oc>
    <nc r="X9"/>
  </rcc>
  <rcc rId="1592" sId="1">
    <oc r="Y9">
      <f>Y7-Y8</f>
    </oc>
    <nc r="Y9"/>
  </rcc>
  <rcc rId="1593" sId="1">
    <oc r="Z9">
      <f>Z7-Z8</f>
    </oc>
    <nc r="Z9"/>
  </rcc>
  <rcc rId="1594" sId="1">
    <oc r="AA9">
      <f>AA7-AA8</f>
    </oc>
    <nc r="AA9"/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2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3.xml><?xml version="1.0" encoding="utf-8"?>
<revisions xmlns="http://schemas.openxmlformats.org/spreadsheetml/2006/main" xmlns:r="http://schemas.openxmlformats.org/officeDocument/2006/relationships">
  <rcc rId="1689" sId="1">
    <oc r="A1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01.01.2023</t>
      </is>
    </oc>
    <nc r="A1" t="inlineStr">
      <is>
        <t>Оперативная 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01.01.2023</t>
      </is>
    </nc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4.xml><?xml version="1.0" encoding="utf-8"?>
<revisions xmlns="http://schemas.openxmlformats.org/spreadsheetml/2006/main" xmlns:r="http://schemas.openxmlformats.org/officeDocument/2006/relationships">
  <rfmt sheetId="1" sqref="H69" start="0" length="2147483647">
    <dxf>
      <font>
        <color auto="1"/>
      </font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fmt sheetId="1" sqref="T1:T1048576">
    <dxf>
      <fill>
        <patternFill>
          <bgColor rgb="FFFFFF00"/>
        </patternFill>
      </fill>
    </dxf>
  </rfmt>
  <rfmt sheetId="1" sqref="T1:T1048576">
    <dxf>
      <fill>
        <patternFill patternType="none">
          <bgColor auto="1"/>
        </patternFill>
      </fill>
    </dxf>
  </rfmt>
  <rfmt sheetId="1" sqref="P1:P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fmt sheetId="1" sqref="E51:E53">
    <dxf>
      <fill>
        <patternFill patternType="none">
          <bgColor auto="1"/>
        </patternFill>
      </fill>
    </dxf>
  </rfmt>
  <rfmt sheetId="1" sqref="I46">
    <dxf>
      <fill>
        <patternFill patternType="none">
          <bgColor auto="1"/>
        </patternFill>
      </fill>
    </dxf>
  </rfmt>
  <rfmt sheetId="1" sqref="M46">
    <dxf>
      <fill>
        <patternFill patternType="none">
          <bgColor auto="1"/>
        </patternFill>
      </fill>
    </dxf>
  </rfmt>
  <rcv guid="{F6FA4751-5470-442B-8CE2-1DF7C5920E7E}" action="delete"/>
  <rdn rId="0" localSheetId="1" customView="1" name="Z_F6FA4751_5470_442B_8CE2_1DF7C5920E7E_.wvu.PrintArea" hidden="1" oldHidden="1">
    <formula>Лист1!$A$1:$V$217</formula>
    <oldFormula>Лист1!$A$1:$V$217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Лист1!$E$12:$E$217</formula>
    <oldFormula>Лист1!$E$12:$E$217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5.xml><?xml version="1.0" encoding="utf-8"?>
<revisions xmlns="http://schemas.openxmlformats.org/spreadsheetml/2006/main" xmlns:r="http://schemas.openxmlformats.org/officeDocument/2006/relationships">
  <rcc rId="1705" sId="1">
    <oc r="A1" t="inlineStr">
      <is>
        <t>Оперативная 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01.01.2023</t>
      </is>
    </oc>
    <nc r="A1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01.01.2023</t>
      </is>
    </nc>
  </rcc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S1:S1048576">
    <dxf>
      <fill>
        <patternFill>
          <bgColor rgb="FFFFFF00"/>
        </patternFill>
      </fill>
    </dxf>
  </rfmt>
  <rfmt sheetId="1" sqref="S1:S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E51">
    <dxf>
      <fill>
        <patternFill>
          <bgColor rgb="FFFFFF00"/>
        </patternFill>
      </fill>
    </dxf>
  </rfmt>
  <rfmt sheetId="1" sqref="E52">
    <dxf>
      <fill>
        <patternFill>
          <bgColor rgb="FFFFFF00"/>
        </patternFill>
      </fill>
    </dxf>
  </rfmt>
  <rrc rId="1706" sId="1" ref="A53:XFD53" action="insertRow"/>
  <rcc rId="1707" sId="1">
    <nc r="C53">
      <v>811</v>
    </nc>
  </rcc>
  <rcc rId="1708" sId="1">
    <nc r="D53" t="inlineStr">
      <is>
        <t>Департамент здравоохранения Томской области</t>
      </is>
    </nc>
  </rcc>
  <rcc rId="1709" sId="1">
    <nc r="E53" t="inlineStr">
      <is>
        <t>07WN352272</t>
      </is>
    </nc>
  </rcc>
  <rcc rId="1710" sId="1">
    <oc r="F46">
      <f>G46+H46+I46</f>
    </oc>
    <nc r="F46">
      <f>G46+H46+I46</f>
    </nc>
  </rcc>
  <rcc rId="1711" sId="1">
    <oc r="G46">
      <f>SUM(G48:G52)</f>
    </oc>
    <nc r="G46">
      <f>SUM(G48:G53)</f>
    </nc>
  </rcc>
  <rcc rId="1712" sId="1" odxf="1" dxf="1">
    <oc r="H46">
      <f>SUM(H48:H52)</f>
    </oc>
    <nc r="H46">
      <f>SUM(H48:H53)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1713" sId="1" odxf="1" dxf="1">
    <oc r="I46">
      <f>SUM(I48:I52)</f>
    </oc>
    <nc r="I46">
      <f>SUM(I48:I53)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1714" sId="1">
    <oc r="K46">
      <f>SUM(K48:K52)</f>
    </oc>
    <nc r="K46">
      <f>SUM(K48:K53)</f>
    </nc>
  </rcc>
  <rcc rId="1715" sId="1" odxf="1" dxf="1">
    <oc r="L46">
      <f>SUM(L48:L52)</f>
    </oc>
    <nc r="L46">
      <f>SUM(L48:L53)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1716" sId="1" odxf="1" dxf="1">
    <oc r="M46">
      <f>SUM(M48:M52)</f>
    </oc>
    <nc r="M46">
      <f>SUM(M48:M53)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1717" sId="1">
    <oc r="O46">
      <f>SUM(O48:O52)</f>
    </oc>
    <nc r="O46">
      <f>SUM(O48:O53)</f>
    </nc>
  </rcc>
  <rcc rId="1718" sId="1">
    <oc r="P46">
      <f>SUM(P48:P52)</f>
    </oc>
    <nc r="P46">
      <f>SUM(P48:P53)</f>
    </nc>
  </rcc>
  <rcc rId="1719" sId="1">
    <oc r="Q46">
      <f>SUM(Q48:Q52)</f>
    </oc>
    <nc r="Q46">
      <f>SUM(Q48:Q53)</f>
    </nc>
  </rcc>
  <rcc rId="1720" sId="1">
    <oc r="S46">
      <f>SUM(S48:S52)</f>
    </oc>
    <nc r="S46">
      <f>SUM(S48:S53)</f>
    </nc>
  </rcc>
  <rcc rId="1721" sId="1" odxf="1" dxf="1">
    <oc r="T46">
      <f>SUM(T48:T52)</f>
    </oc>
    <nc r="T46">
      <f>SUM(T48:T53)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722" sId="1">
    <oc r="U46">
      <f>SUM(U48:U52)</f>
    </oc>
    <nc r="U46">
      <f>SUM(U48:U53)</f>
    </nc>
  </rcc>
  <rcc rId="1723" sId="1">
    <nc r="V53">
      <f>J53/F53</f>
    </nc>
  </rcc>
  <rcc rId="1724" sId="1">
    <nc r="R53">
      <f>S53+T53+U53</f>
    </nc>
  </rcc>
  <rcc rId="1725" sId="1">
    <nc r="N53">
      <f>O53+P53+Q53</f>
    </nc>
  </rcc>
  <rcc rId="1726" sId="1">
    <nc r="J53">
      <f>K53+L53+M53</f>
    </nc>
  </rcc>
  <rcc rId="1727" sId="1">
    <nc r="F53">
      <f>G53+H53+I53</f>
    </nc>
  </rcc>
  <rcc rId="1728" sId="1" numFmtId="4">
    <oc r="G51">
      <v>126807.8</v>
    </oc>
    <nc r="G51">
      <v>110807.76</v>
    </nc>
  </rcc>
  <rcc rId="1729" sId="1" numFmtId="4">
    <oc r="K51">
      <v>108612.6</v>
    </oc>
    <nc r="K51">
      <v>97013.1</v>
    </nc>
  </rcc>
  <rcc rId="1730" sId="1" numFmtId="4">
    <nc r="G53">
      <v>16000</v>
    </nc>
  </rcc>
  <rcc rId="1731" sId="1" numFmtId="4">
    <nc r="K53">
      <v>11599.51</v>
    </nc>
  </rcc>
  <rcv guid="{F6FA4751-5470-442B-8CE2-1DF7C5920E7E}" action="delete"/>
  <rdn rId="0" localSheetId="1" customView="1" name="Z_F6FA4751_5470_442B_8CE2_1DF7C5920E7E_.wvu.PrintArea" hidden="1" oldHidden="1">
    <formula>Лист1!$A$1:$V$217</formula>
    <oldFormula>Лист1!$A$1:$V$217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Лист1!$E$12:$E$217</formula>
    <oldFormula>Лист1!$E$12:$E$217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6.xml><?xml version="1.0" encoding="utf-8"?>
<revisions xmlns="http://schemas.openxmlformats.org/spreadsheetml/2006/main" xmlns:r="http://schemas.openxmlformats.org/officeDocument/2006/relationships">
  <rfmt sheetId="1" sqref="H8" start="0" length="2147483647">
    <dxf>
      <font>
        <color rgb="FFFF0000"/>
      </font>
    </dxf>
  </rfmt>
  <rfmt sheetId="1" sqref="H3" start="0" length="2147483647">
    <dxf>
      <font>
        <color rgb="FFFF0000"/>
      </font>
    </dxf>
  </rfmt>
  <rcc rId="1674" sId="1" numFmtId="4">
    <oc r="H60">
      <v>55135.4</v>
    </oc>
    <nc r="H60">
      <v>55135.5</v>
    </nc>
  </rcc>
  <rcc rId="1675" sId="1" numFmtId="4">
    <oc r="H61">
      <v>159995</v>
    </oc>
    <nc r="H61">
      <v>159994.9</v>
    </nc>
  </rcc>
  <rcc rId="1676" sId="1" numFmtId="4">
    <oc r="H95">
      <v>61782.7</v>
    </oc>
    <nc r="H95">
      <v>61782.6</v>
    </nc>
  </rcc>
  <rfmt sheetId="1" sqref="H68" start="0" length="2147483647">
    <dxf>
      <font>
        <color rgb="FFFF0000"/>
      </font>
    </dxf>
  </rfmt>
  <rcc rId="1677" sId="1" numFmtId="4">
    <oc r="H126">
      <v>2454514.4</v>
    </oc>
    <nc r="H126">
      <v>2454514.5</v>
    </nc>
  </rcc>
  <rcc rId="1678" sId="1" numFmtId="4">
    <oc r="H132">
      <v>179400.9</v>
    </oc>
    <nc r="H132">
      <v>165249.1</v>
    </nc>
  </rcc>
  <rfmt sheetId="1" sqref="H8" start="0" length="2147483647">
    <dxf>
      <font>
        <color auto="1"/>
      </font>
    </dxf>
  </rfmt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7.xml><?xml version="1.0" encoding="utf-8"?>
<revisions xmlns="http://schemas.openxmlformats.org/spreadsheetml/2006/main" xmlns:r="http://schemas.openxmlformats.org/officeDocument/2006/relationships">
  <rcv guid="{F6FA4751-5470-442B-8CE2-1DF7C5920E7E}" action="delete"/>
  <rdn rId="0" localSheetId="1" customView="1" name="Z_F6FA4751_5470_442B_8CE2_1DF7C5920E7E_.wvu.PrintArea" hidden="1" oldHidden="1">
    <formula>Лист1!$A$1:$V$217</formula>
    <oldFormula>Лист1!$A$1:$V$217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Лист1!$E$12:$E$217</formula>
    <oldFormula>Лист1!$E$12:$E$217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8.xml><?xml version="1.0" encoding="utf-8"?>
<revisions xmlns="http://schemas.openxmlformats.org/spreadsheetml/2006/main" xmlns:r="http://schemas.openxmlformats.org/officeDocument/2006/relationships"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22.xml><?xml version="1.0" encoding="utf-8"?>
<revisions xmlns="http://schemas.openxmlformats.org/spreadsheetml/2006/main" xmlns:r="http://schemas.openxmlformats.org/officeDocument/2006/relationships">
  <rcc rId="1386" sId="1">
    <oc r="X8">
      <f>F8-I8</f>
    </oc>
    <nc r="X8"/>
  </rcc>
  <rcc rId="1387" sId="1">
    <oc r="Y8">
      <f>J8-M8</f>
    </oc>
    <nc r="Y8"/>
  </rcc>
  <rcc rId="1388" sId="1">
    <oc r="Z8">
      <f>N8-Q8</f>
    </oc>
    <nc r="Z8"/>
  </rcc>
  <rcc rId="1389" sId="1">
    <oc r="AA8">
      <f>R8-U8</f>
    </oc>
    <nc r="AA8"/>
  </rcc>
  <rcc rId="1390" sId="1" numFmtId="4">
    <oc r="X9">
      <v>17876938.199999999</v>
    </oc>
    <nc r="X9"/>
  </rcc>
  <rcc rId="1391" sId="1" numFmtId="4">
    <oc r="Y9">
      <v>10972718.300000001</v>
    </oc>
    <nc r="Y9"/>
  </rcc>
  <rcc rId="1392" sId="1" numFmtId="4">
    <oc r="Z9">
      <v>15397990.9</v>
    </oc>
    <nc r="Z9"/>
  </rcc>
  <rcc rId="1393" sId="1">
    <oc r="AA9">
      <v>14555838.43</v>
    </oc>
    <nc r="AA9"/>
  </rcc>
  <rcc rId="1394" sId="1">
    <oc r="X10">
      <f>X8-X9</f>
    </oc>
    <nc r="X10"/>
  </rcc>
  <rcc rId="1395" sId="1">
    <oc r="Y10">
      <f>Y8-Y9</f>
    </oc>
    <nc r="Y10"/>
  </rcc>
  <rcc rId="1396" sId="1">
    <oc r="Z10">
      <f>Z8-Z9</f>
    </oc>
    <nc r="Z10"/>
  </rcc>
  <rcc rId="1397" sId="1">
    <oc r="AA10">
      <f>AA8-AA9</f>
    </oc>
    <nc r="AA10"/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fmt sheetId="1" sqref="I1:I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U1:U1048576">
    <dxf>
      <fill>
        <patternFill patternType="none">
          <bgColor auto="1"/>
        </patternFill>
      </fill>
    </dxf>
  </rfmt>
  <rfmt sheetId="1" sqref="G9:U9">
    <dxf>
      <fill>
        <patternFill>
          <bgColor theme="6" tint="0.59999389629810485"/>
        </patternFill>
      </fill>
    </dxf>
  </rfmt>
  <rfmt sheetId="1" sqref="H37:U37">
    <dxf>
      <fill>
        <patternFill>
          <bgColor theme="6" tint="0.59999389629810485"/>
        </patternFill>
      </fill>
    </dxf>
  </rfmt>
  <rfmt sheetId="1" sqref="H68:U68">
    <dxf>
      <fill>
        <patternFill>
          <bgColor theme="6" tint="0.59999389629810485"/>
        </patternFill>
      </fill>
    </dxf>
  </rfmt>
  <rfmt sheetId="1" sqref="H108:V108">
    <dxf>
      <fill>
        <patternFill>
          <bgColor theme="6" tint="0.59999389629810485"/>
        </patternFill>
      </fill>
    </dxf>
  </rfmt>
  <rfmt sheetId="1" sqref="G117:U117">
    <dxf>
      <fill>
        <patternFill>
          <bgColor theme="6" tint="0.59999389629810485"/>
        </patternFill>
      </fill>
    </dxf>
  </rfmt>
  <rfmt sheetId="1" sqref="H133:V133">
    <dxf>
      <fill>
        <patternFill>
          <bgColor theme="6" tint="0.59999389629810485"/>
        </patternFill>
      </fill>
    </dxf>
  </rfmt>
  <rfmt sheetId="1" sqref="H146:V146">
    <dxf>
      <fill>
        <patternFill>
          <bgColor theme="6" tint="0.59999389629810485"/>
        </patternFill>
      </fill>
    </dxf>
  </rfmt>
  <rfmt sheetId="1" sqref="H163:U163">
    <dxf>
      <fill>
        <patternFill>
          <bgColor theme="6" tint="0.59999389629810485"/>
        </patternFill>
      </fill>
    </dxf>
  </rfmt>
  <rfmt sheetId="1" sqref="H184:V184">
    <dxf>
      <fill>
        <patternFill>
          <bgColor theme="6" tint="0.59999389629810485"/>
        </patternFill>
      </fill>
    </dxf>
  </rfmt>
  <rfmt sheetId="1" sqref="H202:U202">
    <dxf>
      <fill>
        <patternFill>
          <bgColor theme="6" tint="0.59999389629810485"/>
        </patternFill>
      </fill>
    </dxf>
  </rfmt>
  <rfmt sheetId="1" sqref="G210:V210">
    <dxf>
      <fill>
        <patternFill>
          <bgColor theme="6" tint="0.59999389629810485"/>
        </patternFill>
      </fill>
    </dxf>
  </rfmt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52.xml><?xml version="1.0" encoding="utf-8"?>
<revisions xmlns="http://schemas.openxmlformats.org/spreadsheetml/2006/main" xmlns:r="http://schemas.openxmlformats.org/officeDocument/2006/relationships">
  <rdn rId="0" localSheetId="1" customView="1" name="Z_235DFFC8_6F08_4EDB_A56F_6D1F006DDE70_.wvu.PrintArea" hidden="1" oldHidden="1">
    <formula>Лист1!$A$1:$V$216</formula>
  </rdn>
  <rdn rId="0" localSheetId="1" customView="1" name="Z_235DFFC8_6F08_4EDB_A56F_6D1F006DDE70_.wvu.PrintTitles" hidden="1" oldHidden="1">
    <formula>Лист1!$4:$7</formula>
  </rdn>
  <rdn rId="0" localSheetId="1" customView="1" name="Z_235DFFC8_6F08_4EDB_A56F_6D1F006DDE70_.wvu.FilterData" hidden="1" oldHidden="1">
    <formula>Лист1!$E$12:$E$216</formula>
  </rdn>
  <rdn rId="0" localSheetId="2" customView="1" name="Z_235DFFC8_6F08_4EDB_A56F_6D1F006DDE70_.wvu.PrintArea" hidden="1" oldHidden="1">
    <formula>Лист2!$A$1:$O$19</formula>
  </rdn>
  <rdn rId="0" localSheetId="2" customView="1" name="Z_235DFFC8_6F08_4EDB_A56F_6D1F006DDE70_.wvu.Cols" hidden="1" oldHidden="1">
    <formula>Лист2!$F:$G</formula>
  </rdn>
  <rcv guid="{235DFFC8-6F08-4EDB-A56F-6D1F006DDE70}" action="add"/>
</revisions>
</file>

<file path=xl/revisions/revisionLog16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71.xml><?xml version="1.0" encoding="utf-8"?>
<revisions xmlns="http://schemas.openxmlformats.org/spreadsheetml/2006/main" xmlns:r="http://schemas.openxmlformats.org/officeDocument/2006/relationships">
  <rfmt sheetId="1" sqref="H136">
    <dxf>
      <fill>
        <patternFill patternType="solid">
          <bgColor theme="3" tint="0.79998168889431442"/>
        </patternFill>
      </fill>
    </dxf>
  </rfmt>
  <rfmt sheetId="1" sqref="H141">
    <dxf>
      <fill>
        <patternFill patternType="solid">
          <bgColor theme="3" tint="0.79998168889431442"/>
        </patternFill>
      </fill>
    </dxf>
  </rfmt>
  <rcc rId="1274" sId="1" numFmtId="4">
    <oc r="L137">
      <v>1218.3</v>
    </oc>
    <nc r="L137">
      <v>3387.2</v>
    </nc>
  </rcc>
  <rfmt sheetId="1" sqref="H137">
    <dxf>
      <fill>
        <patternFill patternType="solid">
          <bgColor theme="3" tint="0.79998168889431442"/>
        </patternFill>
      </fill>
    </dxf>
  </rfmt>
  <rcc rId="1275" sId="1" numFmtId="4">
    <oc r="H145">
      <v>78631.3</v>
    </oc>
    <nc r="H145">
      <v>7509.7</v>
    </nc>
  </rcc>
  <rfmt sheetId="1" sqref="H136:H141">
    <dxf>
      <fill>
        <patternFill>
          <bgColor theme="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81.xml><?xml version="1.0" encoding="utf-8"?>
<revisions xmlns="http://schemas.openxmlformats.org/spreadsheetml/2006/main" xmlns:r="http://schemas.openxmlformats.org/officeDocument/2006/relationships">
  <rcc rId="1310" sId="1" numFmtId="4">
    <nc r="L208">
      <v>6008.8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91.xml><?xml version="1.0" encoding="utf-8"?>
<revisions xmlns="http://schemas.openxmlformats.org/spreadsheetml/2006/main" xmlns:r="http://schemas.openxmlformats.org/officeDocument/2006/relationships">
  <rcc rId="1303" sId="1" numFmtId="4">
    <oc r="L190">
      <v>786.3</v>
    </oc>
    <nc r="L190">
      <v>6942.8</v>
    </nc>
  </rcc>
  <rcc rId="1304" sId="1" numFmtId="4">
    <oc r="L200">
      <v>29056</v>
    </oc>
    <nc r="L200">
      <v>32091.3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01.xml><?xml version="1.0" encoding="utf-8"?>
<revisions xmlns="http://schemas.openxmlformats.org/spreadsheetml/2006/main" xmlns:r="http://schemas.openxmlformats.org/officeDocument/2006/relationships">
  <rcc rId="1321" sId="1" numFmtId="4">
    <oc r="H95">
      <v>61782.6</v>
    </oc>
    <nc r="H95">
      <v>61782.7</v>
    </nc>
  </rcc>
  <rcc rId="1322" sId="1" numFmtId="4">
    <oc r="L95">
      <v>61782.6</v>
    </oc>
    <nc r="L95">
      <v>61782.7</v>
    </nc>
  </rcc>
  <rcc rId="1323" sId="1" numFmtId="4">
    <oc r="L87">
      <v>5064.3999999999996</v>
    </oc>
    <nc r="L87">
      <v>5064.3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2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31.xml><?xml version="1.0" encoding="utf-8"?>
<revisions xmlns="http://schemas.openxmlformats.org/spreadsheetml/2006/main" xmlns:r="http://schemas.openxmlformats.org/officeDocument/2006/relationships"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41.xml><?xml version="1.0" encoding="utf-8"?>
<revisions xmlns="http://schemas.openxmlformats.org/spreadsheetml/2006/main" xmlns:r="http://schemas.openxmlformats.org/officeDocument/2006/relationships">
  <rfmt sheetId="1" sqref="L1:L1048576">
    <dxf>
      <fill>
        <patternFill patternType="none">
          <bgColor auto="1"/>
        </patternFill>
      </fill>
    </dxf>
  </rfmt>
  <rfmt sheetId="1" sqref="P1:P1048576">
    <dxf>
      <fill>
        <patternFill patternType="none">
          <bgColor auto="1"/>
        </patternFill>
      </fill>
    </dxf>
  </rfmt>
  <rcc rId="1566" sId="1">
    <nc r="X7">
      <v>17445980.579999998</v>
    </nc>
  </rcc>
  <rcc rId="1567" sId="1">
    <nc r="Y7">
      <v>14068480.91</v>
    </nc>
  </rcc>
  <rcc rId="1568" sId="1">
    <nc r="Z7">
      <v>15421491.390000001</v>
    </nc>
  </rcc>
  <rcc rId="1569" sId="1">
    <nc r="AA7">
      <v>14555838.43</v>
    </nc>
  </rcc>
  <rcc rId="1570" sId="1">
    <nc r="X8">
      <f>G8+H8</f>
    </nc>
  </rcc>
  <rcc rId="1571" sId="1">
    <nc r="X9">
      <f>X7-X8</f>
    </nc>
  </rcc>
  <rcc rId="1572" sId="1" odxf="1" dxf="1">
    <nc r="Y9">
      <f>Y7-Y8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c rId="1573" sId="1" odxf="1" dxf="1">
    <nc r="Z9">
      <f>Z7-Z8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c rId="1574" sId="1" odxf="1" dxf="1">
    <nc r="AA9">
      <f>AA7-AA8</f>
    </nc>
    <odxf>
      <font>
        <name val="PT Astra Serif"/>
        <scheme val="none"/>
      </font>
      <numFmt numFmtId="0" formatCode="General"/>
    </odxf>
    <ndxf>
      <font>
        <sz val="11"/>
        <color theme="1"/>
        <name val="Calibri"/>
        <scheme val="minor"/>
      </font>
      <numFmt numFmtId="164" formatCode="#,##0.0"/>
    </ndxf>
  </rcc>
  <rcc rId="1575" sId="1">
    <nc r="Y8">
      <f>K8+L8</f>
    </nc>
  </rcc>
  <rcc rId="1576" sId="1">
    <nc r="Z8">
      <f>O8+P8</f>
    </nc>
  </rcc>
  <rcc rId="1577" sId="1">
    <nc r="AA8">
      <f>S8+T8</f>
    </nc>
  </rcc>
  <rfmt sheetId="1" sqref="H1:H1048576">
    <dxf>
      <fill>
        <patternFill patternType="none">
          <bgColor auto="1"/>
        </patternFill>
      </fill>
    </dxf>
  </rfmt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51.xml><?xml version="1.0" encoding="utf-8"?>
<revisions xmlns="http://schemas.openxmlformats.org/spreadsheetml/2006/main" xmlns:r="http://schemas.openxmlformats.org/officeDocument/2006/relationships">
  <rcv guid="{8DBC8541-9868-41A7-9A9F-A27FC80CBA37}" action="delete"/>
  <rdn rId="0" localSheetId="1" customView="1" name="Z_8DBC8541_9868_41A7_9A9F_A27FC80CBA37_.wvu.PrintArea" hidden="1" oldHidden="1">
    <formula>Лист1!$A$1:$V$216</formula>
    <oldFormula>Лист1!$A$1:$V$216</oldFormula>
  </rdn>
  <rdn rId="0" localSheetId="1" customView="1" name="Z_8DBC8541_9868_41A7_9A9F_A27FC80CBA37_.wvu.PrintTitles" hidden="1" oldHidden="1">
    <formula>Лист1!$4:$7</formula>
    <oldFormula>Лист1!$4:$7</oldFormula>
  </rdn>
  <rdn rId="0" localSheetId="1" customView="1" name="Z_8DBC8541_9868_41A7_9A9F_A27FC80CBA37_.wvu.FilterData" hidden="1" oldHidden="1">
    <formula>Лист1!$E$12:$E$216</formula>
    <oldFormula>Лист1!$E$12:$E$216</oldFormula>
  </rdn>
  <rdn rId="0" localSheetId="2" customView="1" name="Z_8DBC8541_9868_41A7_9A9F_A27FC80CBA37_.wvu.PrintArea" hidden="1" oldHidden="1">
    <formula>Лист2!$A$1:$O$19</formula>
  </rdn>
  <rdn rId="0" localSheetId="2" customView="1" name="Z_8DBC8541_9868_41A7_9A9F_A27FC80CBA37_.wvu.Cols" hidden="1" oldHidden="1">
    <formula>Лист2!$F:$G</formula>
  </rdn>
  <rcv guid="{8DBC8541-9868-41A7-9A9F-A27FC80CBA37}" action="add"/>
</revisions>
</file>

<file path=xl/revisions/revisionLog1171.xml><?xml version="1.0" encoding="utf-8"?>
<revisions xmlns="http://schemas.openxmlformats.org/spreadsheetml/2006/main" xmlns:r="http://schemas.openxmlformats.org/officeDocument/2006/relationships"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221.xml><?xml version="1.0" encoding="utf-8"?>
<revisions xmlns="http://schemas.openxmlformats.org/spreadsheetml/2006/main" xmlns:r="http://schemas.openxmlformats.org/officeDocument/2006/relationships">
  <rcc rId="1369" sId="1">
    <nc r="X8">
      <f>F8-I8</f>
    </nc>
  </rcc>
  <rcc rId="1370" sId="1" odxf="1" dxf="1">
    <nc r="Y8">
      <f>J8-M8</f>
    </nc>
    <odxf>
      <numFmt numFmtId="0" formatCode="General"/>
    </odxf>
    <ndxf>
      <numFmt numFmtId="164" formatCode="#,##0.0"/>
    </ndxf>
  </rcc>
  <rcc rId="1371" sId="1" odxf="1" dxf="1">
    <nc r="Z8">
      <f>N8-Q8</f>
    </nc>
    <odxf>
      <numFmt numFmtId="0" formatCode="General"/>
    </odxf>
    <ndxf>
      <numFmt numFmtId="164" formatCode="#,##0.0"/>
    </ndxf>
  </rcc>
  <rcc rId="1372" sId="1" odxf="1" dxf="1">
    <nc r="AA8">
      <f>R8-U8</f>
    </nc>
    <odxf>
      <numFmt numFmtId="0" formatCode="General"/>
    </odxf>
    <ndxf>
      <numFmt numFmtId="164" formatCode="#,##0.0"/>
    </ndxf>
  </rcc>
  <rcc rId="1373" sId="1" numFmtId="4">
    <nc r="X9">
      <v>17876938.199999999</v>
    </nc>
  </rcc>
  <rcc rId="1374" sId="1" numFmtId="4">
    <nc r="Y9">
      <v>10972718.300000001</v>
    </nc>
  </rcc>
  <rcc rId="1375" sId="1" numFmtId="4">
    <nc r="Z9">
      <v>15397990.9</v>
    </nc>
  </rcc>
  <rcc rId="1376" sId="1">
    <nc r="AA9">
      <v>14555838.43</v>
    </nc>
  </rcc>
  <rcc rId="1377" sId="1">
    <nc r="X10">
      <f>X8-X9</f>
    </nc>
  </rcc>
  <rcc rId="1378" sId="1" odxf="1" dxf="1">
    <nc r="Y10">
      <f>Y8-Y9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c rId="1379" sId="1" odxf="1" dxf="1">
    <nc r="Z10">
      <f>Z8-Z9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c rId="1380" sId="1" odxf="1" dxf="1">
    <nc r="AA10">
      <f>AA8-AA9</f>
    </nc>
    <odxf>
      <font>
        <name val="PT Astra Serif"/>
        <scheme val="none"/>
      </font>
    </odxf>
    <ndxf>
      <font>
        <sz val="11"/>
        <color theme="1"/>
        <name val="Calibri"/>
        <scheme val="minor"/>
      </font>
    </ndxf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c rId="1618" sId="1" numFmtId="4">
    <oc r="Q20">
      <v>11635.6</v>
    </oc>
    <nc r="Q20">
      <v>11417.6</v>
    </nc>
  </rcc>
  <rcc rId="1619" sId="1" numFmtId="4">
    <oc r="M21">
      <v>223.3</v>
    </oc>
    <nc r="M21">
      <v>228.1</v>
    </nc>
  </rcc>
  <rcc rId="1620" sId="1" numFmtId="4">
    <oc r="M22">
      <v>349.4</v>
    </oc>
    <nc r="M22">
      <v>407.3</v>
    </nc>
  </rcc>
  <rcc rId="1621" sId="1" numFmtId="4">
    <nc r="Q22">
      <v>0</v>
    </nc>
  </rcc>
  <rcc rId="1622" sId="1" numFmtId="4">
    <nc r="U22">
      <v>0</v>
    </nc>
  </rcc>
  <rcc rId="1623" sId="1" numFmtId="4">
    <oc r="I23">
      <v>325.7</v>
    </oc>
    <nc r="I23">
      <v>318.60000000000002</v>
    </nc>
  </rcc>
  <rcc rId="1624" sId="1" numFmtId="4">
    <oc r="M28">
      <v>110.3</v>
    </oc>
    <nc r="M28">
      <v>112.2</v>
    </nc>
  </rcc>
  <rcc rId="1625" sId="1" numFmtId="4">
    <oc r="M29">
      <v>56370.400000000001</v>
    </oc>
    <nc r="M29">
      <v>58583.1</v>
    </nc>
  </rcc>
  <rcc rId="1626" sId="1" numFmtId="4">
    <oc r="M72">
      <v>46.9</v>
    </oc>
    <nc r="M72">
      <v>118.7</v>
    </nc>
  </rcc>
  <rcc rId="1627" sId="1" numFmtId="4">
    <oc r="I73">
      <v>11997.3</v>
    </oc>
    <nc r="I73">
      <v>10724.5</v>
    </nc>
  </rcc>
  <rcc rId="1628" sId="1" numFmtId="4">
    <oc r="M77">
      <v>614.6</v>
    </oc>
    <nc r="M77">
      <v>1273.0999999999999</v>
    </nc>
  </rcc>
  <rcc rId="1629" sId="1" numFmtId="4">
    <oc r="Q77">
      <v>10000</v>
    </oc>
    <nc r="Q77">
      <v>9581</v>
    </nc>
  </rcc>
  <rcc rId="1630" sId="1" numFmtId="4">
    <oc r="M79">
      <v>313.3</v>
    </oc>
    <nc r="M79">
      <v>493.1</v>
    </nc>
  </rcc>
  <rcc rId="1631" sId="1" numFmtId="4">
    <oc r="I80">
      <v>5.5</v>
    </oc>
    <nc r="I80">
      <v>0</v>
    </nc>
  </rcc>
  <rcc rId="1632" sId="1" numFmtId="4">
    <oc r="I168">
      <v>1814.2</v>
    </oc>
    <nc r="I168">
      <v>1815.6</v>
    </nc>
  </rcc>
  <rcc rId="1633" sId="1" numFmtId="4">
    <oc r="M168">
      <v>817.5</v>
    </oc>
    <nc r="M168">
      <v>1726.1</v>
    </nc>
  </rcc>
  <rcc rId="1634" sId="1" numFmtId="4">
    <nc r="M169">
      <v>1150</v>
    </nc>
  </rcc>
  <rcc rId="1635" sId="1" numFmtId="4">
    <oc r="M122">
      <v>20092.400000000001</v>
    </oc>
    <nc r="M122">
      <v>21669.4</v>
    </nc>
  </rcc>
  <rcc rId="1636" sId="1" numFmtId="4">
    <oc r="Q122">
      <v>21827</v>
    </oc>
    <nc r="Q122">
      <v>22177</v>
    </nc>
  </rcc>
  <rcc rId="1637" sId="1" numFmtId="4">
    <oc r="I123">
      <v>111347</v>
    </oc>
    <nc r="I123">
      <v>161235.1</v>
    </nc>
  </rcc>
  <rcc rId="1638" sId="1" numFmtId="4">
    <oc r="M123">
      <v>72459.899999999994</v>
    </oc>
    <nc r="M123">
      <v>119321.5</v>
    </nc>
  </rcc>
  <rcc rId="1639" sId="1" numFmtId="4">
    <oc r="M132">
      <v>3625.4</v>
    </oc>
    <nc r="M132">
      <v>3797.5</v>
    </nc>
  </rcc>
  <rcc rId="1640" sId="1" numFmtId="4">
    <nc r="Q132">
      <v>2496.9</v>
    </nc>
  </rcc>
  <rcc rId="1641" sId="1" numFmtId="4">
    <nc r="M131">
      <v>534.70000000000005</v>
    </nc>
  </rcc>
  <rcc rId="1642" sId="1" numFmtId="4">
    <oc r="M152">
      <v>223163.6</v>
    </oc>
    <nc r="M152">
      <v>272584.90000000002</v>
    </nc>
  </rcc>
  <rcc rId="1643" sId="1" numFmtId="4">
    <oc r="I153">
      <v>1149.2</v>
    </oc>
    <nc r="I153">
      <v>121.9</v>
    </nc>
  </rcc>
  <rcc rId="1644" sId="1" numFmtId="4">
    <oc r="Q153">
      <v>177.8</v>
    </oc>
    <nc r="Q153">
      <v>253.2</v>
    </nc>
  </rcc>
  <rcc rId="1645" sId="1" numFmtId="4">
    <nc r="I144">
      <v>9542.4</v>
    </nc>
  </rcc>
  <rcc rId="1646" sId="1" numFmtId="4">
    <nc r="M144">
      <v>0</v>
    </nc>
  </rcc>
  <rcc rId="1647" sId="1" numFmtId="4">
    <nc r="Q144">
      <v>8156.9</v>
    </nc>
  </rcc>
  <rcc rId="1648" sId="1" numFmtId="4">
    <nc r="U144">
      <v>0</v>
    </nc>
  </rcc>
  <rcc rId="1649" sId="1" numFmtId="4">
    <oc r="I145">
      <v>3916.5</v>
    </oc>
    <nc r="I145">
      <v>374</v>
    </nc>
  </rcc>
  <rcc rId="1650" sId="1" numFmtId="4">
    <oc r="M145">
      <v>374.1</v>
    </oc>
    <nc r="M145">
      <v>374</v>
    </nc>
  </rcc>
  <rcc rId="1651" sId="1" numFmtId="4">
    <nc r="U145">
      <v>0</v>
    </nc>
  </rcc>
  <rcc rId="1652" sId="1" numFmtId="4">
    <oc r="Q180">
      <v>41.6</v>
    </oc>
    <nc r="Q180">
      <v>41.7</v>
    </nc>
  </rcc>
  <rcc rId="1653" sId="1" numFmtId="4">
    <oc r="U180">
      <v>41.6</v>
    </oc>
    <nc r="U180">
      <v>41.7</v>
    </nc>
  </rcc>
  <rcc rId="1654" sId="1" numFmtId="4">
    <oc r="U20">
      <v>10560</v>
    </oc>
    <nc r="U20">
      <v>10341.9</v>
    </nc>
  </rcc>
  <rfmt sheetId="1" sqref="M20">
    <dxf>
      <numFmt numFmtId="164" formatCode="#,##0.0"/>
    </dxf>
  </rfmt>
  <rcc rId="1655" sId="1" numFmtId="4">
    <oc r="M20">
      <v>13037</v>
    </oc>
    <nc r="M20">
      <v>13037.1</v>
    </nc>
  </rcc>
  <rcc rId="1656" sId="1" numFmtId="4">
    <oc r="M87">
      <v>5.2</v>
    </oc>
    <nc r="M87">
      <v>8.5</v>
    </nc>
  </rcc>
  <rcc rId="1657" sId="1" numFmtId="4">
    <oc r="I120">
      <v>3000</v>
    </oc>
    <nc r="I120">
      <v>0</v>
    </nc>
  </rcc>
  <rcc rId="1658" sId="1" numFmtId="4">
    <oc r="I122">
      <v>27950.5</v>
    </oc>
    <nc r="I122">
      <v>22637.9</v>
    </nc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521.xml><?xml version="1.0" encoding="utf-8"?>
<revisions xmlns="http://schemas.openxmlformats.org/spreadsheetml/2006/main" xmlns:r="http://schemas.openxmlformats.org/officeDocument/2006/relationships">
  <rcc rId="1418" sId="1">
    <nc r="V34">
      <f>J34/F34</f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711.xml><?xml version="1.0" encoding="utf-8"?>
<revisions xmlns="http://schemas.openxmlformats.org/spreadsheetml/2006/main" xmlns:r="http://schemas.openxmlformats.org/officeDocument/2006/relationships"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811.xml><?xml version="1.0" encoding="utf-8"?>
<revisions xmlns="http://schemas.openxmlformats.org/spreadsheetml/2006/main" xmlns:r="http://schemas.openxmlformats.org/officeDocument/2006/relationships">
  <rcc rId="1268" sId="1" numFmtId="4">
    <oc r="U180">
      <v>41.7</v>
    </oc>
    <nc r="U180">
      <v>41.6</v>
    </nc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911.xml><?xml version="1.0" encoding="utf-8"?>
<revisions xmlns="http://schemas.openxmlformats.org/spreadsheetml/2006/main" xmlns:r="http://schemas.openxmlformats.org/officeDocument/2006/relationships">
  <rcc rId="1294" sId="1" numFmtId="4">
    <oc r="L166">
      <v>9914.2000000000007</v>
    </oc>
    <nc r="L166">
      <v>10000</v>
    </nc>
  </rcc>
  <rcc rId="1295" sId="1" numFmtId="4">
    <oc r="L168">
      <v>12753.8</v>
    </oc>
    <nc r="L168">
      <v>13512.5</v>
    </nc>
  </rcc>
  <rcc rId="1296" sId="1" numFmtId="4">
    <oc r="L169">
      <v>6839.2</v>
    </oc>
    <nc r="L169">
      <v>8270.6</v>
    </nc>
  </rcc>
  <rcc rId="1297" sId="1" numFmtId="4">
    <oc r="L171">
      <v>19035.5</v>
    </oc>
    <nc r="L171">
      <v>21114.799999999999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0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211.xml><?xml version="1.0" encoding="utf-8"?>
<revisions xmlns="http://schemas.openxmlformats.org/spreadsheetml/2006/main" xmlns:r="http://schemas.openxmlformats.org/officeDocument/2006/relationships">
  <rcc rId="1348" sId="1" numFmtId="4">
    <oc r="L112">
      <v>4053.4</v>
    </oc>
    <nc r="L112">
      <v>7511.8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311.xml><?xml version="1.0" encoding="utf-8"?>
<revisions xmlns="http://schemas.openxmlformats.org/spreadsheetml/2006/main" xmlns:r="http://schemas.openxmlformats.org/officeDocument/2006/relationships">
  <rcc rId="1477" sId="1" numFmtId="4">
    <oc r="K122">
      <v>10244.299999999999</v>
    </oc>
    <nc r="K122">
      <v>10551.9</v>
    </nc>
  </rcc>
  <rcc rId="1478" sId="1" numFmtId="4">
    <oc r="G127">
      <v>456743.3</v>
    </oc>
    <nc r="G127">
      <v>216298.2</v>
    </nc>
  </rcc>
  <rcc rId="1479" sId="1" numFmtId="4">
    <oc r="K127">
      <v>91131.199999999997</v>
    </oc>
    <nc r="K127">
      <v>154715.4</v>
    </nc>
  </rcc>
  <rcc rId="1480" sId="1" numFmtId="4">
    <oc r="G131">
      <v>9156.5</v>
    </oc>
    <nc r="G131">
      <v>9041.9</v>
    </nc>
  </rcc>
  <rcc rId="1481" sId="1" numFmtId="4">
    <nc r="K131">
      <v>1985.3</v>
    </nc>
  </rcc>
  <rcc rId="1482" sId="1" numFmtId="4">
    <oc r="G132">
      <v>6560</v>
    </oc>
    <nc r="G132">
      <v>4023.8</v>
    </nc>
  </rcc>
  <rcc rId="1483" sId="1" numFmtId="4">
    <oc r="K132">
      <v>3485.3</v>
    </oc>
    <nc r="K132">
      <v>3892.3</v>
    </nc>
  </rcc>
  <rcc rId="1484" sId="1" numFmtId="4">
    <oc r="G152">
      <f>1074050.1-567050.1</f>
    </oc>
    <nc r="G152">
      <v>506229</v>
    </nc>
  </rcc>
  <rcc rId="1485" sId="1" numFmtId="4">
    <oc r="G153">
      <v>2944065.8</v>
    </oc>
    <nc r="G153">
      <v>2996864.2</v>
    </nc>
  </rcc>
  <rcc rId="1486" sId="1" numFmtId="4">
    <oc r="K153">
      <v>2487494.1</v>
    </oc>
    <nc r="K153">
      <v>2996864.2</v>
    </nc>
  </rcc>
  <rcc rId="1487" sId="1" numFmtId="4">
    <oc r="K156">
      <v>14925</v>
    </oc>
    <nc r="K156">
      <v>58051.8</v>
    </nc>
  </rcc>
  <rcc rId="1488" sId="1" numFmtId="4">
    <oc r="K160">
      <v>2971.8</v>
    </oc>
    <nc r="K160">
      <v>2984</v>
    </nc>
  </rcc>
  <rcc rId="1489" sId="1" numFmtId="4">
    <oc r="K162">
      <v>107424</v>
    </oc>
    <nc r="K162">
      <v>181222.9</v>
    </nc>
  </rcc>
  <rcc rId="1490" sId="1" numFmtId="4">
    <oc r="G162">
      <v>192115.8</v>
    </oc>
    <nc r="G162">
      <v>192087.8</v>
    </nc>
  </rcc>
  <rcc rId="1491" sId="1" numFmtId="4">
    <oc r="K168">
      <v>2019.1</v>
    </oc>
    <nc r="K168">
      <v>4263.3999999999996</v>
    </nc>
  </rcc>
  <rcc rId="1492" sId="1" numFmtId="4">
    <oc r="G169">
      <v>9436</v>
    </oc>
    <nc r="G169">
      <v>9322.9</v>
    </nc>
  </rcc>
  <rcc rId="1493" sId="1" numFmtId="4">
    <oc r="K169">
      <v>1235.9000000000001</v>
    </oc>
    <nc r="K169">
      <v>7099.5</v>
    </nc>
  </rcc>
  <rcc rId="1494" sId="1" numFmtId="4">
    <oc r="K175">
      <v>2841.8</v>
    </oc>
    <nc r="K175">
      <v>5000</v>
    </nc>
  </rcc>
  <rfmt sheetId="1" sqref="K163">
    <dxf>
      <fill>
        <patternFill>
          <bgColor theme="5" tint="0.59999389629810485"/>
        </patternFill>
      </fill>
    </dxf>
  </rfmt>
  <rcc rId="1495" sId="1" numFmtId="4">
    <oc r="K200">
      <v>992.5</v>
    </oc>
    <nc r="K200">
      <v>1205.7</v>
    </nc>
  </rcc>
  <rcc rId="1496" sId="1" numFmtId="4">
    <oc r="K190">
      <v>214.7</v>
    </oc>
    <nc r="K190">
      <v>377.3</v>
    </nc>
  </rcc>
  <rcc rId="1497" sId="1" numFmtId="4">
    <oc r="K208">
      <v>14096.9</v>
    </oc>
    <nc r="K208">
      <v>15182</v>
    </nc>
  </rcc>
  <rcc rId="1498" sId="1" numFmtId="4">
    <oc r="G206">
      <v>1907.2</v>
    </oc>
    <nc r="G206">
      <v>0</v>
    </nc>
  </rcc>
  <rcc rId="1499" sId="1" numFmtId="4">
    <oc r="K207">
      <v>120.7</v>
    </oc>
    <nc r="K207">
      <v>1110.8</v>
    </nc>
  </rcc>
  <rcc rId="1500" sId="1" numFmtId="4">
    <oc r="K45">
      <v>1601.8</v>
    </oc>
    <nc r="K45">
      <v>1620.4</v>
    </nc>
  </rcc>
  <rcc rId="1501" sId="1" numFmtId="4">
    <oc r="G214">
      <v>942.5</v>
    </oc>
    <nc r="G214">
      <v>942.6</v>
    </nc>
  </rcc>
  <rcc rId="1502" sId="1" numFmtId="4">
    <nc r="K214">
      <v>942.6</v>
    </nc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411.xml><?xml version="1.0" encoding="utf-8"?>
<revisions xmlns="http://schemas.openxmlformats.org/spreadsheetml/2006/main" xmlns:r="http://schemas.openxmlformats.org/officeDocument/2006/relationships">
  <rcc rId="1536" sId="1" numFmtId="4">
    <oc r="L79">
      <v>303630.8</v>
    </oc>
    <nc r="L79">
      <v>477876</v>
    </nc>
  </rcc>
  <rcc rId="1537" sId="1" numFmtId="4">
    <oc r="L82" t="inlineStr">
      <is>
        <t>***</t>
      </is>
    </oc>
    <nc r="L82">
      <v>0</v>
    </nc>
  </rcc>
  <rcc rId="1538" sId="1" numFmtId="4">
    <oc r="L87">
      <v>5064.3</v>
    </oc>
    <nc r="L87">
      <v>8173.8</v>
    </nc>
  </rcc>
  <rcc rId="1539" sId="1" numFmtId="4">
    <oc r="L102">
      <v>45374</v>
    </oc>
    <nc r="L102">
      <v>57016.4</v>
    </nc>
  </rcc>
  <rcc rId="1540" sId="1" numFmtId="4">
    <nc r="L106">
      <v>25065.4</v>
    </nc>
  </rcc>
  <rcc rId="1541" sId="1" numFmtId="4">
    <oc r="L107">
      <v>14505.6</v>
    </oc>
    <nc r="L107">
      <v>28205</v>
    </nc>
  </rcc>
  <rcc rId="1542" sId="1" numFmtId="4">
    <oc r="H120">
      <v>140000</v>
    </oc>
    <nc r="H120">
      <v>123138</v>
    </nc>
  </rcc>
  <rcc rId="1543" sId="1" numFmtId="4">
    <oc r="L120">
      <v>86760.7</v>
    </oc>
    <nc r="L120">
      <v>123138</v>
    </nc>
  </rcc>
  <rcc rId="1544" sId="1" numFmtId="4">
    <oc r="L121">
      <v>14190</v>
    </oc>
    <nc r="L121">
      <v>70026</v>
    </nc>
  </rcc>
  <rcc rId="1545" sId="1" numFmtId="4">
    <oc r="H122">
      <v>352111.9</v>
    </oc>
    <nc r="H122">
      <v>341178.4</v>
    </nc>
  </rcc>
  <rcc rId="1546" sId="1" numFmtId="4">
    <oc r="L122">
      <v>331234.2</v>
    </oc>
    <nc r="L122">
      <v>341178.3</v>
    </nc>
  </rcc>
  <rcc rId="1547" sId="1" numFmtId="4">
    <oc r="H126">
      <v>2478014.9</v>
    </oc>
    <nc r="H126">
      <v>2454514.4</v>
    </nc>
  </rcc>
  <rcc rId="1548" sId="1" numFmtId="4">
    <oc r="P126">
      <v>2077723.4</v>
    </oc>
    <nc r="P126">
      <v>2101223.7999999998</v>
    </nc>
  </rcc>
  <rcc rId="1549" sId="1" numFmtId="4">
    <oc r="L132">
      <v>144062.9</v>
    </oc>
    <nc r="L132">
      <v>161260.9</v>
    </nc>
  </rcc>
  <rcc rId="1550" sId="1" numFmtId="4">
    <oc r="L126">
      <v>225574.1</v>
    </oc>
    <nc r="L126">
      <v>600800.6</v>
    </nc>
  </rcc>
  <rcc rId="1551" sId="1" numFmtId="4">
    <oc r="L141">
      <v>1869.1</v>
    </oc>
    <nc r="L141">
      <v>3590</v>
    </nc>
  </rcc>
  <rcc rId="1552" sId="1" numFmtId="4">
    <oc r="H150">
      <v>684614.5</v>
    </oc>
    <nc r="H150">
      <v>509414.5</v>
    </nc>
  </rcc>
  <rcc rId="1553" sId="1" numFmtId="4">
    <nc r="L157">
      <v>117961.2</v>
    </nc>
  </rcc>
  <rcc rId="1554" sId="1" numFmtId="4">
    <oc r="L169">
      <v>8270.6</v>
    </oc>
    <nc r="L169">
      <v>47512.3</v>
    </nc>
  </rcc>
  <rcc rId="1555" sId="1" numFmtId="4">
    <oc r="L168">
      <v>13512.5</v>
    </oc>
    <nc r="L168">
      <v>28532.2</v>
    </nc>
  </rcc>
  <rfmt sheetId="1" sqref="H163">
    <dxf>
      <fill>
        <patternFill>
          <bgColor theme="5" tint="0.59999389629810485"/>
        </patternFill>
      </fill>
    </dxf>
  </rfmt>
  <rcc rId="1556" sId="1" numFmtId="4">
    <oc r="H190">
      <v>61475.8</v>
    </oc>
    <nc r="H190">
      <v>12201.8</v>
    </nc>
  </rcc>
  <rcc rId="1557" sId="1" numFmtId="4">
    <oc r="L190">
      <v>6942.8</v>
    </oc>
    <nc r="L190">
      <v>12201.8</v>
    </nc>
  </rcc>
  <rcc rId="1558" sId="1" numFmtId="4">
    <oc r="L200">
      <v>32091.3</v>
    </oc>
    <nc r="L200">
      <v>38984</v>
    </nc>
  </rcc>
  <rcc rId="1559" sId="1" numFmtId="4">
    <nc r="L214">
      <v>30475.8</v>
    </nc>
  </rcc>
  <rcc rId="1560" sId="1" numFmtId="4">
    <oc r="H169">
      <v>63148.800000000003</v>
    </oc>
    <nc r="H169">
      <v>62391.7</v>
    </nc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511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cc rId="1508" sId="1" numFmtId="4">
    <oc r="L21">
      <v>4926.3999999999996</v>
    </oc>
    <nc r="L21">
      <v>5024.3999999999996</v>
    </nc>
  </rcc>
  <rcc rId="1509" sId="1" numFmtId="4">
    <oc r="L22">
      <v>68990.7</v>
    </oc>
    <nc r="L22">
      <v>70643.5</v>
    </nc>
  </rcc>
  <rcc rId="1510" sId="1" numFmtId="4">
    <oc r="H23">
      <v>6014.3</v>
    </oc>
    <nc r="H23">
      <v>5919</v>
    </nc>
  </rcc>
  <rcc rId="1511" sId="1" numFmtId="4">
    <oc r="L27">
      <v>3170.5</v>
    </oc>
    <nc r="L27">
      <v>9700</v>
    </nc>
  </rcc>
  <rcc rId="1512" sId="1" numFmtId="4">
    <oc r="L28">
      <v>106884</v>
    </oc>
    <nc r="L28">
      <v>108725.5</v>
    </nc>
  </rcc>
  <rcc rId="1513" sId="1" numFmtId="4">
    <oc r="L33">
      <v>446537.8</v>
    </oc>
    <nc r="L33">
      <v>481334.2</v>
    </nc>
  </rcc>
  <rcc rId="1514" sId="1" numFmtId="4">
    <oc r="H34">
      <v>1237.5</v>
    </oc>
    <nc r="H34">
      <v>11629.9</v>
    </nc>
  </rcc>
  <rcc rId="1515" sId="1" numFmtId="4">
    <nc r="L34">
      <v>11623.7</v>
    </nc>
  </rcc>
  <rcc rId="1516" sId="1" numFmtId="4">
    <oc r="H35">
      <v>1187214.5</v>
    </oc>
    <nc r="H35">
      <v>1218836.1000000001</v>
    </nc>
  </rcc>
  <rcc rId="1517" sId="1" numFmtId="4">
    <oc r="L35">
      <v>1108263.8</v>
    </oc>
    <nc r="L35">
      <v>1218811.3999999999</v>
    </nc>
  </rcc>
  <rcc rId="1518" sId="1" numFmtId="4">
    <oc r="L44">
      <v>57689.3</v>
    </oc>
    <nc r="L44">
      <v>122794.6</v>
    </nc>
  </rcc>
  <rcc rId="1519" sId="1" numFmtId="4">
    <oc r="L45">
      <v>49079.8</v>
    </oc>
    <nc r="L45">
      <v>52391.4</v>
    </nc>
  </rcc>
  <rcc rId="1520" sId="1" numFmtId="4">
    <oc r="L48">
      <v>49049.1</v>
    </oc>
    <nc r="L48">
      <v>210400.3</v>
    </nc>
  </rcc>
  <rcc rId="1521" sId="1" numFmtId="4">
    <oc r="L49">
      <v>583069</v>
    </oc>
    <nc r="L49">
      <v>932083.3</v>
    </nc>
  </rcc>
  <rcc rId="1522" sId="1" numFmtId="4">
    <oc r="L55">
      <v>4491.8999999999996</v>
    </oc>
    <nc r="L55">
      <v>16565.599999999999</v>
    </nc>
  </rcc>
  <rcc rId="1523" sId="1" numFmtId="4">
    <oc r="L58">
      <v>65656.600000000006</v>
    </oc>
    <nc r="L58">
      <v>87820.5</v>
    </nc>
  </rcc>
  <rcc rId="1524" sId="1" numFmtId="4">
    <oc r="L60">
      <v>49927.9</v>
    </oc>
    <nc r="L60">
      <v>54031.8</v>
    </nc>
  </rcc>
  <rcc rId="1525" sId="1" numFmtId="4">
    <oc r="L61">
      <v>20039.099999999999</v>
    </oc>
    <nc r="L61">
      <v>158925.6</v>
    </nc>
  </rcc>
  <rcc rId="1526" sId="1" numFmtId="4">
    <oc r="L62">
      <v>44562.6</v>
    </oc>
    <nc r="L62">
      <v>148082.70000000001</v>
    </nc>
  </rcc>
  <rcc rId="1527" sId="1" numFmtId="4">
    <nc r="L63">
      <v>30359.9</v>
    </nc>
  </rcc>
  <rcc rId="1528" sId="1" numFmtId="4">
    <nc r="L64">
      <v>54957.4</v>
    </nc>
  </rcc>
  <rcc rId="1529" sId="1" numFmtId="4">
    <oc r="L66">
      <v>2729.7</v>
    </oc>
    <nc r="L66">
      <v>39831.599999999999</v>
    </nc>
  </rcc>
  <rcc rId="1530" sId="1" numFmtId="4">
    <oc r="L67">
      <v>89855.8</v>
    </oc>
    <nc r="L67">
      <v>92019.1</v>
    </nc>
  </rcc>
  <rfmt sheetId="1" sqref="L37">
    <dxf>
      <fill>
        <patternFill>
          <bgColor theme="5" tint="0.59999389629810485"/>
        </patternFill>
      </fill>
    </dxf>
  </rfmt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fmt sheetId="1" sqref="U1:U1048576">
    <dxf>
      <fill>
        <patternFill>
          <bgColor rgb="FFFFFF00"/>
        </patternFill>
      </fill>
    </dxf>
  </rfmt>
  <rfmt sheetId="1" sqref="Q1:Q1048576">
    <dxf>
      <fill>
        <patternFill>
          <bgColor rgb="FFFFFF00"/>
        </patternFill>
      </fill>
    </dxf>
  </rfmt>
  <rfmt sheetId="1" sqref="M1:M1048576">
    <dxf>
      <fill>
        <patternFill>
          <bgColor rgb="FFFFFF00"/>
        </patternFill>
      </fill>
    </dxf>
  </rfmt>
  <rfmt sheetId="1" sqref="I1:I1048576">
    <dxf>
      <fill>
        <patternFill>
          <bgColor rgb="FFFFFF00"/>
        </patternFill>
      </fill>
    </dxf>
  </rfmt>
  <rcc rId="1610" sId="1" numFmtId="4">
    <oc r="Q18">
      <v>689</v>
    </oc>
    <nc r="Q18">
      <v>719</v>
    </nc>
  </rcc>
  <rcc rId="1611" sId="1" numFmtId="4">
    <oc r="I20">
      <v>13104.2</v>
    </oc>
    <nc r="I20">
      <v>13149.6</v>
    </nc>
  </rcc>
  <rcc rId="1612" sId="1" numFmtId="4">
    <oc r="M20">
      <v>12017</v>
    </oc>
    <nc r="M20">
      <v>13037</v>
    </nc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52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7111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 patternType="none">
          <bgColor auto="1"/>
        </patternFill>
      </fill>
    </dxf>
  </rfmt>
  <rfmt sheetId="1" sqref="G142" start="0" length="0">
    <dxf>
      <fill>
        <patternFill patternType="none">
          <bgColor indexed="65"/>
        </patternFill>
      </fill>
    </dxf>
  </rfmt>
  <rfmt sheetId="1" sqref="G103" start="0" length="2686976">
    <dxf>
      <fill>
        <patternFill patternType="none">
          <bgColor indexed="65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I1:I1048576">
    <dxf>
      <fill>
        <patternFill>
          <bgColor rgb="FFFFFF00"/>
        </patternFill>
      </fill>
    </dxf>
  </rfmt>
  <rfmt sheetId="1" sqref="I142" start="0" length="0">
    <dxf>
      <fill>
        <patternFill patternType="none">
          <bgColor indexed="65"/>
        </patternFill>
      </fill>
    </dxf>
  </rfmt>
  <rfmt sheetId="1" sqref="M1:M1048576">
    <dxf>
      <fill>
        <patternFill>
          <bgColor rgb="FFFFFF00"/>
        </patternFill>
      </fill>
    </dxf>
  </rfmt>
  <rfmt sheetId="1" sqref="M103" start="0" length="38469632">
    <dxf>
      <fill>
        <patternFill patternType="solid">
          <bgColor theme="0"/>
        </patternFill>
      </fill>
    </dxf>
  </rfmt>
  <rcc rId="1162" sId="1" numFmtId="4">
    <oc r="I20">
      <v>13164.6</v>
    </oc>
    <nc r="I20">
      <v>13104.2</v>
    </nc>
  </rcc>
  <rcc rId="1163" sId="1" numFmtId="4">
    <oc r="M20">
      <v>11299.8</v>
    </oc>
    <nc r="M20">
      <v>12017</v>
    </nc>
  </rcc>
  <rcc rId="1164" sId="1" numFmtId="4">
    <oc r="M22">
      <v>212.1</v>
    </oc>
    <nc r="M22">
      <v>349.4</v>
    </nc>
  </rcc>
  <rcc rId="1165" sId="1" numFmtId="4">
    <oc r="M29">
      <v>56364.5</v>
    </oc>
    <nc r="M29">
      <v>56370.400000000001</v>
    </nc>
  </rcc>
  <rcc rId="1166" sId="1" numFmtId="4">
    <oc r="M72">
      <v>45</v>
    </oc>
    <nc r="M72">
      <v>46.9</v>
    </nc>
  </rcc>
  <rcc rId="1167" sId="1" numFmtId="4">
    <oc r="M77">
      <v>22</v>
    </oc>
    <nc r="M77">
      <v>614.6</v>
    </nc>
  </rcc>
  <rcc rId="1168" sId="1" numFmtId="4">
    <oc r="M79">
      <v>240.5</v>
    </oc>
    <nc r="M79">
      <v>313.3</v>
    </nc>
  </rcc>
  <rcc rId="1169" sId="1" numFmtId="4">
    <oc r="I80">
      <v>275.8</v>
    </oc>
    <nc r="I80">
      <v>5.5</v>
    </nc>
  </rcc>
  <rcc rId="1170" sId="1" numFmtId="4">
    <oc r="M87">
      <v>2.6</v>
    </oc>
    <nc r="M87">
      <v>5.2</v>
    </nc>
  </rcc>
  <rcc rId="1171" sId="1" numFmtId="4">
    <oc r="M168">
      <v>771.6</v>
    </oc>
    <nc r="M168">
      <v>817.5</v>
    </nc>
  </rcc>
  <rcc rId="1172" sId="1" numFmtId="4">
    <nc r="I169">
      <v>1150</v>
    </nc>
  </rcc>
  <rcc rId="1173" sId="1" numFmtId="4">
    <oc r="M171">
      <v>571.9</v>
    </oc>
    <nc r="M171">
      <v>641.79999999999995</v>
    </nc>
  </rcc>
  <rcc rId="1174" sId="1" numFmtId="4">
    <oc r="I120">
      <v>5000</v>
    </oc>
    <nc r="I120">
      <v>3000</v>
    </nc>
  </rcc>
  <rcc rId="1175" sId="1" numFmtId="4">
    <oc r="I122">
      <v>29035</v>
    </oc>
    <nc r="I122">
      <v>27950.5</v>
    </nc>
  </rcc>
  <rcc rId="1176" sId="1" numFmtId="4">
    <oc r="M122">
      <v>11187.7</v>
    </oc>
    <nc r="M122">
      <v>20092.400000000001</v>
    </nc>
  </rcc>
  <rcc rId="1177" sId="1" numFmtId="4">
    <oc r="M132">
      <v>3581.4</v>
    </oc>
    <nc r="M132">
      <v>3625.4</v>
    </nc>
  </rcc>
  <rcc rId="1178" sId="1" numFmtId="4">
    <oc r="M152">
      <v>220288.7</v>
    </oc>
    <nc r="M152">
      <v>223163.6</v>
    </nc>
  </rcc>
  <rcc rId="1179" sId="1" numFmtId="4">
    <oc r="M153">
      <v>91.6</v>
    </oc>
    <nc r="M153">
      <v>121.9</v>
    </nc>
  </rcc>
  <rcc rId="1180" sId="1" numFmtId="4">
    <oc r="M21">
      <v>196.2</v>
    </oc>
    <nc r="M21">
      <v>223.3</v>
    </nc>
  </rcc>
  <rcc rId="1181" sId="1">
    <oc r="I8">
      <f>I9+I37+I68+I108+I117+I133+I146+I163+I184+I202+I210</f>
    </oc>
    <nc r="I8">
      <f>I9+I37+I68+I108+I117+I133+I146+I163+I184+I202+I210</f>
    </nc>
  </rcc>
  <rcc rId="1182" sId="1">
    <oc r="I37">
      <f>I38+I42+I46+I53+I56</f>
    </oc>
    <nc r="I37">
      <f>I38+I42+I46+I53+I56</f>
    </nc>
  </rcc>
  <rcc rId="1183" sId="1">
    <oc r="I108">
      <f>I109+I114</f>
    </oc>
    <nc r="I108">
      <f>I109+I114</f>
    </nc>
  </rcc>
  <rcc rId="1184" sId="1">
    <oc r="I117">
      <f>I118+I123+I128</f>
    </oc>
    <nc r="I117">
      <f>I118+I123+I128</f>
    </nc>
  </rcc>
  <rcc rId="1185" sId="1">
    <oc r="I163">
      <f>I164+I176+I181</f>
    </oc>
    <nc r="I163">
      <f>I164+I176+I181</f>
    </nc>
  </rcc>
  <rcc rId="1186" sId="1">
    <oc r="I69">
      <f>SUM(I71:I84)</f>
    </oc>
    <nc r="I69">
      <f>SUM(I71:I84)</f>
    </nc>
  </rcc>
  <rcc rId="1187" sId="1">
    <oc r="I16">
      <f>SUM(I18:I24)</f>
    </oc>
    <nc r="I16">
      <f>SUM(I18:I24)</f>
    </nc>
  </rcc>
  <rcc rId="1188" sId="1" odxf="1" dxf="1">
    <oc r="I9">
      <f>I10+I16+I25+I31</f>
    </oc>
    <nc r="I9">
      <f>I10+I16+I25+I31</f>
    </nc>
    <odxf>
      <fill>
        <patternFill>
          <bgColor rgb="FFFFFF00"/>
        </patternFill>
      </fill>
    </odxf>
    <ndxf>
      <fill>
        <patternFill>
          <bgColor theme="6" tint="0.59999389629810485"/>
        </patternFill>
      </fill>
    </ndxf>
  </rcc>
  <rcc rId="1189" sId="1" odxf="1" dxf="1">
    <oc r="M9">
      <f>M10+M16+M25+M31</f>
    </oc>
    <nc r="M9">
      <f>M10+M16+M25+M31</f>
    </nc>
    <odxf>
      <fill>
        <patternFill>
          <bgColor rgb="FFFFFF00"/>
        </patternFill>
      </fill>
    </odxf>
    <ndxf>
      <fill>
        <patternFill>
          <bgColor theme="6" tint="0.59999389629810485"/>
        </patternFill>
      </fill>
    </ndxf>
  </rcc>
  <rcc rId="1190" sId="1" odxf="1" dxf="1">
    <oc r="I68">
      <f>I69+I85+I92+I100+I103</f>
    </oc>
    <nc r="I68">
      <f>I69+I85+I92+I100+I103</f>
    </nc>
    <ndxf>
      <fill>
        <patternFill>
          <bgColor theme="6" tint="0.59999389629810485"/>
        </patternFill>
      </fill>
    </ndxf>
  </rcc>
  <rcc rId="1191" sId="1" odxf="1" dxf="1">
    <oc r="M68">
      <f>M69+M85+M92+M100+M103</f>
    </oc>
    <nc r="M68">
      <f>M69+M85+M92+M100+M103</f>
    </nc>
    <odxf>
      <fill>
        <patternFill>
          <bgColor rgb="FFFFFF00"/>
        </patternFill>
      </fill>
    </odxf>
    <ndxf>
      <fill>
        <patternFill>
          <bgColor theme="6" tint="0.59999389629810485"/>
        </patternFill>
      </fill>
    </ndxf>
  </rcc>
  <rcc rId="1192" sId="1" numFmtId="4">
    <oc r="I123">
      <v>94919.1</v>
    </oc>
    <nc r="I123">
      <v>111347</v>
    </nc>
  </rcc>
  <rcc rId="1193" sId="1" numFmtId="4">
    <oc r="M123">
      <v>60485.5</v>
    </oc>
    <nc r="M123">
      <v>72459.899999999994</v>
    </nc>
  </rcc>
  <rfmt sheetId="1" sqref="I13">
    <dxf>
      <fill>
        <patternFill patternType="none">
          <bgColor auto="1"/>
        </patternFill>
      </fill>
    </dxf>
  </rfmt>
  <rfmt sheetId="1" sqref="I1:I1048576">
    <dxf>
      <fill>
        <patternFill patternType="none">
          <bgColor auto="1"/>
        </patternFill>
      </fill>
    </dxf>
  </rfmt>
  <rfmt sheetId="1" sqref="I142" start="0" length="0">
    <dxf>
      <fill>
        <patternFill patternType="none">
          <bgColor indexed="65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M142" start="0" length="1533280256">
    <dxf>
      <fill>
        <patternFill>
          <bgColor rgb="FFFFFF00"/>
        </patternFill>
      </fill>
    </dxf>
  </rfmt>
  <rfmt sheetId="1" sqref="M103" start="0" length="71041024">
    <dxf>
      <fill>
        <patternFill patternType="solid">
          <bgColor theme="0"/>
        </patternFill>
      </fill>
    </dxf>
  </rfmt>
  <rfmt sheetId="1" sqref="F9:T9">
    <dxf>
      <fill>
        <patternFill>
          <bgColor theme="6" tint="0.59999389629810485"/>
        </patternFill>
      </fill>
    </dxf>
  </rfmt>
  <rfmt sheetId="1" sqref="F37:R37">
    <dxf>
      <fill>
        <patternFill>
          <bgColor theme="6" tint="0.59999389629810485"/>
        </patternFill>
      </fill>
    </dxf>
  </rfmt>
  <rfmt sheetId="1" sqref="F68:Q68">
    <dxf>
      <fill>
        <patternFill>
          <bgColor theme="6" tint="0.59999389629810485"/>
        </patternFill>
      </fill>
    </dxf>
  </rfmt>
  <rfmt sheetId="1" sqref="F108:P108">
    <dxf>
      <fill>
        <patternFill>
          <bgColor theme="6" tint="0.59999389629810485"/>
        </patternFill>
      </fill>
    </dxf>
  </rfmt>
  <rfmt sheetId="1" sqref="F117:P117">
    <dxf>
      <fill>
        <patternFill>
          <bgColor theme="6" tint="0.59999389629810485"/>
        </patternFill>
      </fill>
    </dxf>
  </rfmt>
  <rfmt sheetId="1" sqref="F133:P133">
    <dxf>
      <fill>
        <patternFill>
          <bgColor theme="6" tint="0.59999389629810485"/>
        </patternFill>
      </fill>
    </dxf>
  </rfmt>
  <rfmt sheetId="1" sqref="F146:P146">
    <dxf>
      <fill>
        <patternFill>
          <bgColor theme="6" tint="0.59999389629810485"/>
        </patternFill>
      </fill>
    </dxf>
  </rfmt>
  <rfmt sheetId="1" sqref="F163:O163">
    <dxf>
      <fill>
        <patternFill>
          <bgColor theme="6" tint="0.59999389629810485"/>
        </patternFill>
      </fill>
    </dxf>
  </rfmt>
  <rfmt sheetId="1" sqref="F184:Q184">
    <dxf>
      <fill>
        <patternFill>
          <bgColor theme="6" tint="0.59999389629810485"/>
        </patternFill>
      </fill>
    </dxf>
  </rfmt>
  <rfmt sheetId="1" sqref="F202:P202">
    <dxf>
      <fill>
        <patternFill>
          <bgColor theme="6" tint="0.59999389629810485"/>
        </patternFill>
      </fill>
    </dxf>
  </rfmt>
  <rfmt sheetId="1" sqref="F210:P210">
    <dxf>
      <fill>
        <patternFill>
          <bgColor theme="6" tint="0.59999389629810485"/>
        </patternFill>
      </fill>
    </dxf>
  </rfmt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8111.xml><?xml version="1.0" encoding="utf-8"?>
<revisions xmlns="http://schemas.openxmlformats.org/spreadsheetml/2006/main" xmlns:r="http://schemas.openxmlformats.org/officeDocument/2006/relationships">
  <rcc rId="1237" sId="1" numFmtId="4">
    <oc r="K122">
      <v>10244.4</v>
    </oc>
    <nc r="K122">
      <v>10244.299999999999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9111.xml><?xml version="1.0" encoding="utf-8"?>
<revisions xmlns="http://schemas.openxmlformats.org/spreadsheetml/2006/main" xmlns:r="http://schemas.openxmlformats.org/officeDocument/2006/relationships">
  <rcc rId="1253" sId="1" numFmtId="4">
    <oc r="H122">
      <v>362056.5</v>
    </oc>
    <nc r="H122">
      <v>352111.9</v>
    </nc>
  </rcc>
  <rcc rId="1254" sId="1" numFmtId="4">
    <oc r="H126">
      <v>2258932.1</v>
    </oc>
    <nc r="H126">
      <v>2478014.9</v>
    </nc>
  </rcc>
  <rcc rId="1255" sId="1" numFmtId="4">
    <oc r="H132">
      <v>200644.2</v>
    </oc>
    <nc r="H132">
      <v>179400.9</v>
    </nc>
  </rcc>
  <rcc rId="1256" sId="1" numFmtId="4">
    <oc r="L120">
      <v>71851.899999999994</v>
    </oc>
    <nc r="L120">
      <v>86760.7</v>
    </nc>
  </rcc>
  <rcc rId="1257" sId="1" numFmtId="4">
    <oc r="L121">
      <v>7583.4</v>
    </oc>
    <nc r="L121">
      <v>14190</v>
    </nc>
  </rcc>
  <rcc rId="1258" sId="1" numFmtId="4">
    <oc r="L122">
      <v>199532.6</v>
    </oc>
    <nc r="L122">
      <v>331234.2</v>
    </nc>
  </rcc>
  <rcc rId="1259" sId="1" numFmtId="4">
    <oc r="L126">
      <v>204949.5</v>
    </oc>
    <nc r="L126">
      <v>225574.1</v>
    </nc>
  </rcc>
  <rcc rId="1260" sId="1" numFmtId="4">
    <oc r="L132">
      <v>139299</v>
    </oc>
    <nc r="L132">
      <v>144062.9</v>
    </nc>
  </rcc>
  <rcc rId="1261" sId="1" numFmtId="4">
    <oc r="P126">
      <f>1376608.2-266192.6+517215.21+203188.2</f>
    </oc>
    <nc r="P126">
      <v>2077723.4</v>
    </nc>
  </rcc>
  <rcc rId="1262" sId="1" numFmtId="4">
    <oc r="P132">
      <v>347516.5</v>
    </oc>
    <nc r="P132">
      <v>368759.8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0111.xml><?xml version="1.0" encoding="utf-8"?>
<revisions xmlns="http://schemas.openxmlformats.org/spreadsheetml/2006/main" xmlns:r="http://schemas.openxmlformats.org/officeDocument/2006/relationships">
  <rcc rId="1286" sId="1" numFmtId="4">
    <oc r="L150">
      <v>410106</v>
    </oc>
    <nc r="L150">
      <v>509414.5</v>
    </nc>
  </rcc>
  <rcc rId="1287" sId="1" numFmtId="4">
    <oc r="H153">
      <v>1296784.3</v>
    </oc>
    <nc r="H153">
      <v>1102848.3</v>
    </nc>
  </rcc>
  <rcc rId="1288" sId="1" numFmtId="4">
    <oc r="L153">
      <v>944066.4</v>
    </oc>
    <nc r="L153">
      <v>1102848.3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21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3111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cc rId="1440" sId="1" numFmtId="4">
    <oc r="K20">
      <v>79883.600000000006</v>
    </oc>
    <nc r="K20">
      <v>86353.2</v>
    </nc>
  </rcc>
  <rcc rId="1441" sId="1" numFmtId="4">
    <oc r="K21">
      <v>2876.6</v>
    </oc>
    <nc r="K21">
      <v>2933.8</v>
    </nc>
  </rcc>
  <rcc rId="1442" sId="1" numFmtId="4">
    <oc r="K22">
      <v>2133.6999999999998</v>
    </oc>
    <nc r="K22">
      <v>2184.9</v>
    </nc>
  </rcc>
  <rcc rId="1443" sId="1" numFmtId="4">
    <oc r="G23">
      <v>2505.6999999999998</v>
    </oc>
    <nc r="G23">
      <v>2466</v>
    </nc>
  </rcc>
  <rcc rId="1444" sId="1" numFmtId="4">
    <oc r="K27">
      <v>98.1</v>
    </oc>
    <nc r="K27">
      <v>300</v>
    </nc>
  </rcc>
  <rcc rId="1445" sId="1" numFmtId="4">
    <oc r="K28">
      <v>3305.7</v>
    </oc>
    <nc r="K28">
      <v>3362.6</v>
    </nc>
  </rcc>
  <rcc rId="1446" sId="1" numFmtId="4">
    <oc r="K29">
      <v>130536.6</v>
    </oc>
    <nc r="K29">
      <v>154763.4</v>
    </nc>
  </rcc>
  <rcc rId="1447" sId="1" numFmtId="4">
    <oc r="K33">
      <v>66724</v>
    </oc>
    <nc r="K33">
      <v>71923.5</v>
    </nc>
  </rcc>
  <rcc rId="1448" sId="1" numFmtId="4">
    <oc r="G34">
      <v>184.9</v>
    </oc>
    <nc r="G34">
      <v>1737.8</v>
    </nc>
  </rcc>
  <rcc rId="1449" sId="1" numFmtId="4">
    <nc r="K34">
      <v>1736.9</v>
    </nc>
  </rcc>
  <rcc rId="1450" sId="1" numFmtId="4">
    <oc r="G36">
      <v>133407.29999999999</v>
    </oc>
    <nc r="G36">
      <v>128661.6</v>
    </nc>
  </rcc>
  <rcc rId="1451" sId="1" numFmtId="4">
    <oc r="K36">
      <v>114700.5</v>
    </oc>
    <nc r="K36">
      <v>119082.9</v>
    </nc>
  </rcc>
  <rfmt sheetId="1" sqref="K9">
    <dxf>
      <fill>
        <patternFill>
          <bgColor theme="5" tint="0.59999389629810485"/>
        </patternFill>
      </fill>
    </dxf>
  </rfmt>
  <rcc rId="1452" sId="1" numFmtId="4">
    <oc r="K45">
      <v>1518</v>
    </oc>
    <nc r="K45">
      <v>1601.8</v>
    </nc>
  </rcc>
  <rcc rId="1453" sId="1" numFmtId="4">
    <oc r="K51">
      <v>10491.4</v>
    </oc>
    <nc r="K51">
      <v>108612.6</v>
    </nc>
  </rcc>
  <rcc rId="1454" sId="1" numFmtId="4">
    <oc r="K52">
      <v>3695.3</v>
    </oc>
    <nc r="K52">
      <v>10087.299999999999</v>
    </nc>
  </rcc>
  <rcc rId="1455" sId="1" numFmtId="4">
    <oc r="K58">
      <v>2898</v>
    </oc>
    <nc r="K58">
      <v>3876.3</v>
    </nc>
  </rcc>
  <rcc rId="1456" sId="1" numFmtId="4">
    <oc r="K60">
      <v>2203.8000000000002</v>
    </oc>
    <nc r="K60">
      <v>2384.9</v>
    </nc>
  </rcc>
  <rcc rId="1457" sId="1" numFmtId="4">
    <oc r="K61">
      <v>884.5</v>
    </oc>
    <nc r="K61">
      <v>7014.9</v>
    </nc>
  </rcc>
  <rcc rId="1458" sId="1" numFmtId="4">
    <oc r="K62">
      <v>1967</v>
    </oc>
    <nc r="K62">
      <v>6536.3</v>
    </nc>
  </rcc>
  <rcc rId="1459" sId="1" numFmtId="4">
    <nc r="K63">
      <v>1340.1</v>
    </nc>
  </rcc>
  <rcc rId="1460" sId="1" numFmtId="4">
    <nc r="K64">
      <v>2425.8000000000002</v>
    </nc>
  </rcc>
  <rcc rId="1461" sId="1" numFmtId="4">
    <oc r="K66">
      <v>120.5</v>
    </oc>
    <nc r="K66">
      <v>1758.1</v>
    </nc>
  </rcc>
  <rcc rId="1462" sId="1" numFmtId="4">
    <oc r="K67">
      <v>3966.2</v>
    </oc>
    <nc r="K67">
      <v>4061.6</v>
    </nc>
  </rcc>
  <rcc rId="1463" sId="1" numFmtId="4">
    <oc r="K49">
      <v>151926.29999999999</v>
    </oc>
    <nc r="K49">
      <v>242866.7</v>
    </nc>
  </rcc>
  <rcc rId="1464" sId="1" numFmtId="4">
    <oc r="K55">
      <v>1329.5</v>
    </oc>
    <nc r="K55">
      <v>4903</v>
    </nc>
  </rcc>
  <rcc rId="1465" sId="1" numFmtId="4">
    <nc r="K73">
      <v>32173.5</v>
    </nc>
  </rcc>
  <rcc rId="1466" sId="1" numFmtId="4">
    <oc r="K74">
      <v>5079.3999999999996</v>
    </oc>
    <nc r="K74">
      <v>5129.3</v>
    </nc>
  </rcc>
  <rcc rId="1467" sId="1" numFmtId="4">
    <oc r="K79">
      <v>9390.6</v>
    </oc>
    <nc r="K79">
      <v>14779.7</v>
    </nc>
  </rcc>
  <rcc rId="1468" sId="1" numFmtId="4">
    <oc r="K87">
      <v>156.6</v>
    </oc>
    <nc r="K87">
      <v>252.8</v>
    </nc>
  </rcc>
  <rcc rId="1469" sId="1" numFmtId="4">
    <oc r="K102">
      <v>1403.3</v>
    </oc>
    <nc r="K102">
      <v>1763.4</v>
    </nc>
  </rcc>
  <rcc rId="1470" sId="1" numFmtId="4">
    <nc r="K105">
      <v>775.3</v>
    </nc>
  </rcc>
  <rcc rId="1471" sId="1" numFmtId="4">
    <oc r="K107">
      <v>620.20000000000005</v>
    </oc>
    <nc r="K107">
      <v>2299.8000000000002</v>
    </nc>
  </rcc>
  <rfmt sheetId="1" sqref="K68">
    <dxf>
      <fill>
        <patternFill>
          <bgColor theme="5" tint="0.59999389629810485"/>
        </patternFill>
      </fill>
    </dxf>
  </rfmt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revisionLog114111.xml><?xml version="1.0" encoding="utf-8"?>
<revisions xmlns="http://schemas.openxmlformats.org/spreadsheetml/2006/main" xmlns:r="http://schemas.openxmlformats.org/officeDocument/2006/relationships">
  <rfmt sheetId="1" sqref="L142:R142">
    <dxf>
      <fill>
        <patternFill>
          <bgColor theme="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521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81111.xml><?xml version="1.0" encoding="utf-8"?>
<revisions xmlns="http://schemas.openxmlformats.org/spreadsheetml/2006/main" xmlns:r="http://schemas.openxmlformats.org/officeDocument/2006/relationships">
  <rcc rId="1143" sId="1">
    <oc r="H103">
      <f>H107+H105</f>
    </oc>
    <nc r="H103">
      <f>H107+H105+H106</f>
    </nc>
  </rcc>
  <rcc rId="1144" sId="1">
    <oc r="I103">
      <f>I107+I105</f>
    </oc>
    <nc r="I103">
      <f>I107+I105+I106</f>
    </nc>
  </rcc>
  <rcc rId="1145" sId="1" odxf="1" dxf="1">
    <oc r="G103">
      <f>G107+G105</f>
    </oc>
    <nc r="G103">
      <f>G107+G105+G106</f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146" sId="1">
    <oc r="K103">
      <f>K107+K105</f>
    </oc>
    <nc r="K103">
      <f>K107+K105+K106</f>
    </nc>
  </rcc>
  <rcc rId="1147" sId="1" odxf="1" dxf="1">
    <oc r="L103">
      <f>L107+L105</f>
    </oc>
    <nc r="L103">
      <f>L107+L105+L106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1148" sId="1" odxf="1" dxf="1">
    <oc r="M103">
      <f>M107+M105</f>
    </oc>
    <nc r="M103">
      <f>M107+M105+M106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1149" sId="1">
    <oc r="O103">
      <f>O107+O105</f>
    </oc>
    <nc r="O103">
      <f>O107+O105+O106</f>
    </nc>
  </rcc>
  <rcc rId="1150" sId="1" odxf="1" dxf="1">
    <oc r="P103">
      <f>P107+P105</f>
    </oc>
    <nc r="P103">
      <f>P107+P105+P106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1151" sId="1" odxf="1" dxf="1">
    <oc r="Q103">
      <f>Q107+Q105</f>
    </oc>
    <nc r="Q103">
      <f>Q107+Q105+Q106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1152" sId="1">
    <oc r="S103">
      <f>S105+S107</f>
    </oc>
    <nc r="S103">
      <f>S105+S107++S106</f>
    </nc>
  </rcc>
  <rcc rId="1153" sId="1">
    <oc r="T103">
      <f>T105+T107</f>
    </oc>
    <nc r="T103">
      <f>T105+T107++T106</f>
    </nc>
  </rcc>
  <rcc rId="1154" sId="1">
    <oc r="U103">
      <f>U105+U107</f>
    </oc>
    <nc r="U103">
      <f>U105+U107++U106</f>
    </nc>
  </rcc>
  <rcc rId="1155" sId="1" numFmtId="4">
    <nc r="L107">
      <v>14505.6</v>
    </nc>
  </rcc>
  <rcc rId="1156" sId="1" numFmtId="4">
    <oc r="L87">
      <v>5064.3</v>
    </oc>
    <nc r="L87">
      <v>5064.3999999999996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91111.xml><?xml version="1.0" encoding="utf-8"?>
<revisions xmlns="http://schemas.openxmlformats.org/spreadsheetml/2006/main" xmlns:r="http://schemas.openxmlformats.org/officeDocument/2006/relationships">
  <rcc rId="1222" sId="1" numFmtId="4">
    <oc r="X9">
      <v>558237.5</v>
    </oc>
    <nc r="X9"/>
  </rcc>
  <rcc rId="1223" sId="1">
    <oc r="Y9">
      <f>I8-X9</f>
    </oc>
    <nc r="Y9"/>
  </rcc>
  <rcc rId="1224" sId="1" numFmtId="4">
    <oc r="X10">
      <v>399802.6</v>
    </oc>
    <nc r="X10"/>
  </rcc>
  <rcc rId="1225" sId="1">
    <oc r="Y10">
      <f>X10-M8</f>
    </oc>
    <nc r="Y10"/>
  </rcc>
  <rcc rId="1226" sId="1" numFmtId="4">
    <oc r="X12">
      <v>157729.20000000001</v>
    </oc>
    <nc r="X12"/>
  </rcc>
  <rcc rId="1227" sId="1">
    <oc r="Y12">
      <f>X12-Q8</f>
    </oc>
    <nc r="Y12"/>
  </rcc>
  <rcc rId="1228" sId="1" numFmtId="4">
    <oc r="X13">
      <v>135357.70000000001</v>
    </oc>
    <nc r="X13"/>
  </rcc>
  <rcc rId="1229" sId="1">
    <oc r="Y13">
      <f>X13-U8</f>
    </oc>
    <nc r="Y13"/>
  </rcc>
  <rcc rId="1230" sId="1" numFmtId="4">
    <oc r="G120">
      <v>14000</v>
    </oc>
    <nc r="G120"/>
  </rcc>
  <rcc rId="1231" sId="1" numFmtId="4">
    <oc r="G127">
      <v>442743.3</v>
    </oc>
    <nc r="G127">
      <v>456743.3</v>
    </nc>
  </rcc>
  <rcv guid="{FE09AB06-1ECE-4486-BCA1-E9D85830708B}" action="delete"/>
  <rdn rId="0" localSheetId="1" customView="1" name="Z_FE09AB06_1ECE_4486_BCA1_E9D85830708B_.wvu.PrintArea" hidden="1" oldHidden="1">
    <formula>Лист1!$A$1:$V$216</formula>
    <oldFormula>Лист1!$A$1:$V$216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Лист1!$E$12:$E$216</formula>
    <oldFormula>Лист1!$E$12:$E$216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31111.xml><?xml version="1.0" encoding="utf-8"?>
<revisions xmlns="http://schemas.openxmlformats.org/spreadsheetml/2006/main" xmlns:r="http://schemas.openxmlformats.org/officeDocument/2006/relationships">
  <rcc rId="1434" sId="1">
    <oc r="A1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01.12.2022</t>
      </is>
    </oc>
    <nc r="A1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01.01.2023</t>
      </is>
    </nc>
  </rcc>
  <rcv guid="{F6FA4751-5470-442B-8CE2-1DF7C5920E7E}" action="delete"/>
  <rdn rId="0" localSheetId="1" customView="1" name="Z_F6FA4751_5470_442B_8CE2_1DF7C5920E7E_.wvu.PrintArea" hidden="1" oldHidden="1">
    <formula>Лист1!$A$1:$V$216</formula>
    <oldFormula>Лист1!$A$1:$V$216</oldFormula>
  </rdn>
  <rdn rId="0" localSheetId="1" customView="1" name="Z_F6FA4751_5470_442B_8CE2_1DF7C5920E7E_.wvu.PrintTitles" hidden="1" oldHidden="1">
    <formula>Лист1!$4:$7</formula>
    <oldFormula>Лист1!$4:$7</oldFormula>
  </rdn>
  <rdn rId="0" localSheetId="1" customView="1" name="Z_F6FA4751_5470_442B_8CE2_1DF7C5920E7E_.wvu.FilterData" hidden="1" oldHidden="1">
    <formula>Лист1!$E$12:$E$216</formula>
    <oldFormula>Лист1!$E$12:$E$216</oldFormula>
  </rdn>
  <rdn rId="0" localSheetId="2" customView="1" name="Z_F6FA4751_5470_442B_8CE2_1DF7C5920E7E_.wvu.PrintArea" hidden="1" oldHidden="1">
    <formula>Лист2!$A$1:$O$19</formula>
    <oldFormula>Лист2!$A$1:$O$19</oldFormula>
  </rdn>
  <rdn rId="0" localSheetId="2" customView="1" name="Z_F6FA4751_5470_442B_8CE2_1DF7C5920E7E_.wvu.Cols" hidden="1" oldHidden="1">
    <formula>Лист2!$F:$G</formula>
    <oldFormula>Лист2!$F:$G</oldFormula>
  </rdn>
  <rcv guid="{F6FA4751-5470-442B-8CE2-1DF7C5920E7E}" action="add"/>
</revisions>
</file>

<file path=xl/revisions/userNames.xml><?xml version="1.0" encoding="utf-8"?>
<users xmlns="http://schemas.openxmlformats.org/spreadsheetml/2006/main" xmlns:r="http://schemas.openxmlformats.org/officeDocument/2006/relationships" count="2">
  <userInfo guid="{EDE061C4-6CBC-4256-8E39-5C3EE14726B8}" name="nma" id="-869786454" dateTime="2022-12-02T09:42:32"/>
  <userInfo guid="{D005D8B4-54E9-49EC-ACE9-4C0A739CDBC0}" name="oev" id="-860700179" dateTime="2022-12-21T09:57:42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55"/>
  <sheetViews>
    <sheetView tabSelected="1" zoomScale="77" zoomScaleNormal="77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3" sqref="B13"/>
    </sheetView>
  </sheetViews>
  <sheetFormatPr defaultColWidth="8.85546875" defaultRowHeight="15"/>
  <cols>
    <col min="1" max="1" width="6.42578125" style="3" customWidth="1"/>
    <col min="2" max="2" width="59.140625" style="4" customWidth="1"/>
    <col min="3" max="3" width="7.7109375" style="3" customWidth="1"/>
    <col min="4" max="4" width="25.85546875" style="3" customWidth="1"/>
    <col min="5" max="5" width="17.42578125" style="3" customWidth="1"/>
    <col min="6" max="6" width="17.5703125" style="3" customWidth="1"/>
    <col min="7" max="7" width="17.85546875" style="3" customWidth="1"/>
    <col min="8" max="8" width="17" style="3" customWidth="1"/>
    <col min="9" max="9" width="14.140625" style="3" customWidth="1"/>
    <col min="10" max="10" width="17.5703125" style="6" customWidth="1"/>
    <col min="11" max="11" width="16.140625" style="3" customWidth="1"/>
    <col min="12" max="12" width="15.85546875" style="3" customWidth="1"/>
    <col min="13" max="13" width="13.85546875" style="3" customWidth="1"/>
    <col min="14" max="14" width="16" style="3" customWidth="1"/>
    <col min="15" max="15" width="15.7109375" style="3" customWidth="1"/>
    <col min="16" max="16" width="16.85546875" style="3" customWidth="1"/>
    <col min="17" max="17" width="14.140625" style="3" customWidth="1"/>
    <col min="18" max="18" width="15.85546875" style="3" customWidth="1"/>
    <col min="19" max="19" width="16.42578125" style="3" customWidth="1"/>
    <col min="20" max="20" width="16.5703125" style="3" customWidth="1"/>
    <col min="21" max="21" width="13.42578125" style="3" customWidth="1"/>
    <col min="22" max="22" width="11.7109375" style="3" customWidth="1"/>
    <col min="23" max="23" width="8.85546875" style="2"/>
    <col min="24" max="24" width="19" style="2" customWidth="1"/>
    <col min="25" max="25" width="18.7109375" style="2" customWidth="1"/>
    <col min="26" max="26" width="23.42578125" style="2" bestFit="1" customWidth="1"/>
    <col min="27" max="27" width="18.28515625" style="2" bestFit="1" customWidth="1"/>
    <col min="28" max="101" width="8.85546875" style="2"/>
    <col min="102" max="16384" width="8.85546875" style="3"/>
  </cols>
  <sheetData>
    <row r="1" spans="1:27" ht="15" customHeight="1">
      <c r="A1" s="114" t="s">
        <v>388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</row>
    <row r="2" spans="1:27" ht="37.5" customHeight="1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</row>
    <row r="3" spans="1:27">
      <c r="E3" s="5"/>
      <c r="G3" s="100"/>
      <c r="H3" s="111"/>
      <c r="K3" s="100"/>
      <c r="T3" s="109"/>
      <c r="U3" s="109" t="s">
        <v>197</v>
      </c>
    </row>
    <row r="4" spans="1:27" ht="16.5" customHeight="1">
      <c r="A4" s="115" t="s">
        <v>0</v>
      </c>
      <c r="B4" s="118" t="s">
        <v>1</v>
      </c>
      <c r="C4" s="115" t="s">
        <v>2</v>
      </c>
      <c r="D4" s="115" t="s">
        <v>3</v>
      </c>
      <c r="E4" s="115" t="s">
        <v>4</v>
      </c>
      <c r="F4" s="126" t="s">
        <v>195</v>
      </c>
      <c r="G4" s="127"/>
      <c r="H4" s="127"/>
      <c r="I4" s="128"/>
      <c r="J4" s="126" t="s">
        <v>195</v>
      </c>
      <c r="K4" s="127"/>
      <c r="L4" s="127"/>
      <c r="M4" s="128"/>
      <c r="N4" s="126" t="s">
        <v>196</v>
      </c>
      <c r="O4" s="127"/>
      <c r="P4" s="127"/>
      <c r="Q4" s="128"/>
      <c r="R4" s="129" t="s">
        <v>254</v>
      </c>
      <c r="S4" s="129"/>
      <c r="T4" s="129"/>
      <c r="U4" s="129"/>
      <c r="V4" s="131" t="s">
        <v>234</v>
      </c>
    </row>
    <row r="5" spans="1:27" ht="16.5" customHeight="1">
      <c r="A5" s="116"/>
      <c r="B5" s="119"/>
      <c r="C5" s="116"/>
      <c r="D5" s="116"/>
      <c r="E5" s="121"/>
      <c r="F5" s="123" t="s">
        <v>232</v>
      </c>
      <c r="G5" s="124"/>
      <c r="H5" s="124"/>
      <c r="I5" s="125"/>
      <c r="J5" s="123" t="s">
        <v>5</v>
      </c>
      <c r="K5" s="124"/>
      <c r="L5" s="124"/>
      <c r="M5" s="125"/>
      <c r="N5" s="123" t="s">
        <v>232</v>
      </c>
      <c r="O5" s="124"/>
      <c r="P5" s="124"/>
      <c r="Q5" s="125"/>
      <c r="R5" s="130" t="s">
        <v>232</v>
      </c>
      <c r="S5" s="130"/>
      <c r="T5" s="130"/>
      <c r="U5" s="130"/>
      <c r="V5" s="132"/>
    </row>
    <row r="6" spans="1:27" ht="82.5">
      <c r="A6" s="117"/>
      <c r="B6" s="120"/>
      <c r="C6" s="117"/>
      <c r="D6" s="117"/>
      <c r="E6" s="122"/>
      <c r="F6" s="7" t="s">
        <v>6</v>
      </c>
      <c r="G6" s="113" t="s">
        <v>7</v>
      </c>
      <c r="H6" s="113" t="s">
        <v>8</v>
      </c>
      <c r="I6" s="107" t="s">
        <v>233</v>
      </c>
      <c r="J6" s="7" t="s">
        <v>6</v>
      </c>
      <c r="K6" s="113" t="s">
        <v>7</v>
      </c>
      <c r="L6" s="113" t="s">
        <v>8</v>
      </c>
      <c r="M6" s="107" t="s">
        <v>233</v>
      </c>
      <c r="N6" s="7" t="s">
        <v>6</v>
      </c>
      <c r="O6" s="113" t="s">
        <v>7</v>
      </c>
      <c r="P6" s="113" t="s">
        <v>8</v>
      </c>
      <c r="Q6" s="107" t="s">
        <v>231</v>
      </c>
      <c r="R6" s="7" t="s">
        <v>6</v>
      </c>
      <c r="S6" s="113" t="s">
        <v>7</v>
      </c>
      <c r="T6" s="113" t="s">
        <v>8</v>
      </c>
      <c r="U6" s="107" t="s">
        <v>231</v>
      </c>
      <c r="V6" s="133"/>
    </row>
    <row r="7" spans="1:27" ht="16.5">
      <c r="A7" s="9" t="s">
        <v>9</v>
      </c>
      <c r="B7" s="10">
        <v>2</v>
      </c>
      <c r="C7" s="11">
        <v>3</v>
      </c>
      <c r="D7" s="11">
        <v>4</v>
      </c>
      <c r="E7" s="11">
        <v>5</v>
      </c>
      <c r="F7" s="7">
        <v>6</v>
      </c>
      <c r="G7" s="113">
        <v>7</v>
      </c>
      <c r="H7" s="113">
        <v>8</v>
      </c>
      <c r="I7" s="107">
        <v>9</v>
      </c>
      <c r="J7" s="7">
        <v>10</v>
      </c>
      <c r="K7" s="113">
        <v>11</v>
      </c>
      <c r="L7" s="113">
        <v>12</v>
      </c>
      <c r="M7" s="107">
        <v>13</v>
      </c>
      <c r="N7" s="7">
        <v>14</v>
      </c>
      <c r="O7" s="113">
        <v>15</v>
      </c>
      <c r="P7" s="113">
        <v>16</v>
      </c>
      <c r="Q7" s="107">
        <v>17</v>
      </c>
      <c r="R7" s="7">
        <v>18</v>
      </c>
      <c r="S7" s="113">
        <v>19</v>
      </c>
      <c r="T7" s="113">
        <v>20</v>
      </c>
      <c r="U7" s="107">
        <v>21</v>
      </c>
      <c r="V7" s="8">
        <v>22</v>
      </c>
    </row>
    <row r="8" spans="1:27" ht="19.5">
      <c r="A8" s="12"/>
      <c r="B8" s="13" t="s">
        <v>10</v>
      </c>
      <c r="C8" s="11"/>
      <c r="D8" s="11"/>
      <c r="E8" s="11"/>
      <c r="F8" s="14">
        <f>G8+H8+I8</f>
        <v>18035375.800000001</v>
      </c>
      <c r="G8" s="98">
        <f>G9+G37+G69+G109+G118+G134+G147+G164+G185+G203+G211</f>
        <v>5643838.0999999996</v>
      </c>
      <c r="H8" s="112">
        <f>H9+H37+H69+H109+H118+H134+H147+H164+H185+H203+H211</f>
        <v>11787990.699999999</v>
      </c>
      <c r="I8" s="98">
        <f>I9+I37+I69+I109+I118+I134+I147+I164+I185+I203+I211</f>
        <v>603547</v>
      </c>
      <c r="J8" s="14">
        <f>K8+L8+M8</f>
        <v>14573119.5</v>
      </c>
      <c r="K8" s="98">
        <f>K9+K37+K69+K109+K118+K134+K147+K164+K185+K203+K211</f>
        <v>5352246.9000000004</v>
      </c>
      <c r="L8" s="98">
        <f>L9+L37+L69+L109+L118+L134+L147+L164+L185+L203+L211</f>
        <v>8716234</v>
      </c>
      <c r="M8" s="98">
        <f>M9+M37+M69+M109+M118+M134+M147+M164+M185+M203+M211</f>
        <v>504638.6</v>
      </c>
      <c r="N8" s="14">
        <f>O8+P8+Q8</f>
        <v>15589692.9</v>
      </c>
      <c r="O8" s="98">
        <f>O9+O37+O69+O109+O118+O134+O147+O164+O185+O203+O211</f>
        <v>4748467.8</v>
      </c>
      <c r="P8" s="98">
        <f>P9+P37+P69+P109+P118+P134+P147+P164+P185+P203+P211</f>
        <v>10673023.6</v>
      </c>
      <c r="Q8" s="98">
        <f>Q9+Q37+Q69+Q109+Q118+Q134+Q147+Q164+Q185+Q203+Q211</f>
        <v>168201.5</v>
      </c>
      <c r="R8" s="14">
        <f>S8+T8+U8</f>
        <v>14690978.1</v>
      </c>
      <c r="S8" s="98">
        <f>S9+S37+S69+S109+S118+S134+S147+S164+S185+S203+S211</f>
        <v>4699081.2</v>
      </c>
      <c r="T8" s="98">
        <f>T9+T37+T69+T109+T118+T134+T147+T164+T185+T203+T211</f>
        <v>9856757.1999999993</v>
      </c>
      <c r="U8" s="98">
        <f>U9+U37+U69+U109+U118+U134+U147+U164+U185+U203+U211</f>
        <v>135139.70000000001</v>
      </c>
      <c r="V8" s="15">
        <f>J8/F8</f>
        <v>0.80800000000000005</v>
      </c>
      <c r="X8" s="16"/>
      <c r="Y8" s="16"/>
      <c r="Z8" s="16"/>
      <c r="AA8" s="16"/>
    </row>
    <row r="9" spans="1:27" ht="18.75">
      <c r="A9" s="17">
        <v>1</v>
      </c>
      <c r="B9" s="18" t="s">
        <v>11</v>
      </c>
      <c r="C9" s="19" t="s">
        <v>12</v>
      </c>
      <c r="D9" s="19" t="s">
        <v>12</v>
      </c>
      <c r="E9" s="19" t="s">
        <v>12</v>
      </c>
      <c r="F9" s="20">
        <f t="shared" ref="F9:F41" si="0">G9+H9+I9</f>
        <v>2505907.6</v>
      </c>
      <c r="G9" s="20">
        <f>G10+G16+G25+G31</f>
        <v>476885.5</v>
      </c>
      <c r="H9" s="20">
        <f>H10+H16+H25+H31</f>
        <v>1935137.8</v>
      </c>
      <c r="I9" s="20">
        <f>I10+I16+I25+I31</f>
        <v>93884.3</v>
      </c>
      <c r="J9" s="20">
        <f t="shared" ref="J9:J10" si="1">K9+L9+M9</f>
        <v>2472110</v>
      </c>
      <c r="K9" s="20">
        <f>K10+K16+K25+K31</f>
        <v>467080.6</v>
      </c>
      <c r="L9" s="20">
        <f>L10+L16+L25+L31</f>
        <v>1929970.5</v>
      </c>
      <c r="M9" s="20">
        <f>M10+M16+M25+M31</f>
        <v>75058.899999999994</v>
      </c>
      <c r="N9" s="20">
        <f t="shared" ref="N9:N10" si="2">O9+P9+Q9</f>
        <v>2238923.6</v>
      </c>
      <c r="O9" s="20">
        <f>O10+O16+O25+O31</f>
        <v>212421.8</v>
      </c>
      <c r="P9" s="20">
        <f>P10+P16+P25+P31</f>
        <v>2013499.5</v>
      </c>
      <c r="Q9" s="20">
        <f>Q10+Q16+Q25+Q31</f>
        <v>13002.3</v>
      </c>
      <c r="R9" s="20">
        <f t="shared" ref="R9:R10" si="3">S9+T9+U9</f>
        <v>2324546.9</v>
      </c>
      <c r="S9" s="20">
        <f>S10+S16+S25+S31</f>
        <v>218134</v>
      </c>
      <c r="T9" s="20">
        <f>T10+T16+T25+T31</f>
        <v>2094560</v>
      </c>
      <c r="U9" s="20">
        <f>U10+U16+U25+U31</f>
        <v>11852.9</v>
      </c>
      <c r="V9" s="21">
        <f t="shared" ref="V9:V41" si="4">J9/F9</f>
        <v>0.98699999999999999</v>
      </c>
      <c r="X9" s="89"/>
      <c r="Y9" s="89"/>
      <c r="Z9" s="89"/>
      <c r="AA9" s="89"/>
    </row>
    <row r="10" spans="1:27" ht="39.75" customHeight="1">
      <c r="A10" s="22" t="s">
        <v>13</v>
      </c>
      <c r="B10" s="45" t="s">
        <v>14</v>
      </c>
      <c r="C10" s="24" t="s">
        <v>12</v>
      </c>
      <c r="D10" s="24" t="s">
        <v>12</v>
      </c>
      <c r="E10" s="24" t="s">
        <v>12</v>
      </c>
      <c r="F10" s="26">
        <f>G10+H10+I10</f>
        <v>189.4</v>
      </c>
      <c r="G10" s="25">
        <f>SUM(G12:G15)</f>
        <v>0</v>
      </c>
      <c r="H10" s="25">
        <f>SUM(H12:H15)</f>
        <v>189.4</v>
      </c>
      <c r="I10" s="25">
        <f>SUM(I12:I15)</f>
        <v>0</v>
      </c>
      <c r="J10" s="26">
        <f t="shared" si="1"/>
        <v>188.8</v>
      </c>
      <c r="K10" s="25">
        <f>SUM(K12:K15)</f>
        <v>0</v>
      </c>
      <c r="L10" s="25">
        <f>SUM(L12:L15)</f>
        <v>188.8</v>
      </c>
      <c r="M10" s="25">
        <f>SUM(M12:M15)</f>
        <v>0</v>
      </c>
      <c r="N10" s="25">
        <f t="shared" si="2"/>
        <v>189.4</v>
      </c>
      <c r="O10" s="25">
        <f>SUM(O12:O15)</f>
        <v>0</v>
      </c>
      <c r="P10" s="25">
        <f>SUM(P12:P15)</f>
        <v>189.4</v>
      </c>
      <c r="Q10" s="25">
        <f>SUM(Q12:Q15)</f>
        <v>0</v>
      </c>
      <c r="R10" s="25">
        <f t="shared" si="3"/>
        <v>210.4</v>
      </c>
      <c r="S10" s="25">
        <f>SUM(S12:S15)</f>
        <v>0</v>
      </c>
      <c r="T10" s="25">
        <f>SUM(T12:T15)</f>
        <v>210.4</v>
      </c>
      <c r="U10" s="25">
        <f>SUM(U12:U15)</f>
        <v>0</v>
      </c>
      <c r="V10" s="27">
        <f t="shared" si="4"/>
        <v>0.997</v>
      </c>
      <c r="X10" s="89"/>
      <c r="Y10" s="89"/>
      <c r="Z10" s="89"/>
      <c r="AA10" s="89"/>
    </row>
    <row r="11" spans="1:27" ht="18.75">
      <c r="A11" s="22"/>
      <c r="B11" s="37" t="s">
        <v>15</v>
      </c>
      <c r="C11" s="30"/>
      <c r="D11" s="30"/>
      <c r="E11" s="30"/>
      <c r="F11" s="26"/>
      <c r="G11" s="75"/>
      <c r="H11" s="75"/>
      <c r="I11" s="75"/>
      <c r="J11" s="26"/>
      <c r="K11" s="75"/>
      <c r="L11" s="75"/>
      <c r="M11" s="75"/>
      <c r="N11" s="25"/>
      <c r="O11" s="75"/>
      <c r="P11" s="75"/>
      <c r="Q11" s="75"/>
      <c r="R11" s="25"/>
      <c r="S11" s="75"/>
      <c r="T11" s="75"/>
      <c r="U11" s="75"/>
      <c r="V11" s="31"/>
      <c r="X11" s="16"/>
      <c r="Y11" s="16"/>
      <c r="Z11" s="16"/>
    </row>
    <row r="12" spans="1:27" ht="64.5" customHeight="1">
      <c r="A12" s="22"/>
      <c r="B12" s="38" t="s">
        <v>213</v>
      </c>
      <c r="C12" s="32">
        <v>821</v>
      </c>
      <c r="D12" s="33" t="s">
        <v>19</v>
      </c>
      <c r="E12" s="32" t="s">
        <v>255</v>
      </c>
      <c r="F12" s="26">
        <f>G12+H12+I12</f>
        <v>0</v>
      </c>
      <c r="G12" s="75">
        <f>66370-66370</f>
        <v>0</v>
      </c>
      <c r="H12" s="75"/>
      <c r="I12" s="75"/>
      <c r="J12" s="26">
        <f>K12+L12+M12</f>
        <v>0</v>
      </c>
      <c r="K12" s="75"/>
      <c r="L12" s="75"/>
      <c r="M12" s="75"/>
      <c r="N12" s="25">
        <f>O12+P12+Q12</f>
        <v>0</v>
      </c>
      <c r="O12" s="75"/>
      <c r="P12" s="75"/>
      <c r="Q12" s="75"/>
      <c r="R12" s="25">
        <f>S12+T12+U12</f>
        <v>0</v>
      </c>
      <c r="S12" s="75"/>
      <c r="T12" s="75"/>
      <c r="U12" s="75"/>
      <c r="V12" s="31" t="e">
        <f t="shared" si="4"/>
        <v>#DIV/0!</v>
      </c>
      <c r="X12" s="16"/>
      <c r="Y12" s="16"/>
      <c r="Z12" s="16"/>
    </row>
    <row r="13" spans="1:27" ht="72" customHeight="1">
      <c r="A13" s="22"/>
      <c r="B13" s="38" t="s">
        <v>236</v>
      </c>
      <c r="C13" s="32">
        <v>821</v>
      </c>
      <c r="D13" s="33" t="s">
        <v>19</v>
      </c>
      <c r="E13" s="32" t="s">
        <v>336</v>
      </c>
      <c r="F13" s="26">
        <f t="shared" ref="F13:F15" si="5">G13+H13+I13</f>
        <v>0</v>
      </c>
      <c r="G13" s="75">
        <f>5255-5255</f>
        <v>0</v>
      </c>
      <c r="H13" s="75"/>
      <c r="I13" s="75"/>
      <c r="J13" s="26">
        <f t="shared" ref="J13:J15" si="6">K13+L13+M13</f>
        <v>0</v>
      </c>
      <c r="K13" s="75"/>
      <c r="L13" s="75"/>
      <c r="M13" s="75"/>
      <c r="N13" s="25">
        <f t="shared" ref="N13:N15" si="7">O13+P13+Q13</f>
        <v>0</v>
      </c>
      <c r="O13" s="75"/>
      <c r="P13" s="75"/>
      <c r="Q13" s="75"/>
      <c r="R13" s="25">
        <f t="shared" ref="R13:R15" si="8">S13+T13+U13</f>
        <v>0</v>
      </c>
      <c r="S13" s="75"/>
      <c r="T13" s="75"/>
      <c r="U13" s="75"/>
      <c r="V13" s="31" t="e">
        <f t="shared" si="4"/>
        <v>#DIV/0!</v>
      </c>
      <c r="X13" s="16"/>
      <c r="Y13" s="16"/>
    </row>
    <row r="14" spans="1:27" ht="70.5" customHeight="1">
      <c r="A14" s="22"/>
      <c r="B14" s="38" t="s">
        <v>256</v>
      </c>
      <c r="C14" s="32">
        <v>821</v>
      </c>
      <c r="D14" s="33" t="s">
        <v>19</v>
      </c>
      <c r="E14" s="32" t="s">
        <v>154</v>
      </c>
      <c r="F14" s="26">
        <f t="shared" si="5"/>
        <v>0</v>
      </c>
      <c r="G14" s="75">
        <f>375.2-375.2</f>
        <v>0</v>
      </c>
      <c r="H14" s="75"/>
      <c r="I14" s="75"/>
      <c r="J14" s="26">
        <f t="shared" si="6"/>
        <v>0</v>
      </c>
      <c r="K14" s="75"/>
      <c r="L14" s="75"/>
      <c r="M14" s="75"/>
      <c r="N14" s="25">
        <f t="shared" si="7"/>
        <v>0</v>
      </c>
      <c r="O14" s="75"/>
      <c r="P14" s="75"/>
      <c r="Q14" s="75"/>
      <c r="R14" s="25">
        <f t="shared" si="8"/>
        <v>0</v>
      </c>
      <c r="S14" s="75"/>
      <c r="T14" s="75"/>
      <c r="U14" s="75"/>
      <c r="V14" s="31" t="e">
        <f t="shared" ref="V14" si="9">J14/F14</f>
        <v>#DIV/0!</v>
      </c>
      <c r="X14" s="16"/>
      <c r="Y14" s="16"/>
    </row>
    <row r="15" spans="1:27" ht="74.25" customHeight="1">
      <c r="A15" s="22"/>
      <c r="B15" s="38" t="s">
        <v>18</v>
      </c>
      <c r="C15" s="32" t="s">
        <v>257</v>
      </c>
      <c r="D15" s="33" t="s">
        <v>17</v>
      </c>
      <c r="E15" s="32" t="s">
        <v>182</v>
      </c>
      <c r="F15" s="26">
        <f t="shared" si="5"/>
        <v>189.4</v>
      </c>
      <c r="G15" s="75"/>
      <c r="H15" s="75">
        <v>189.4</v>
      </c>
      <c r="I15" s="98"/>
      <c r="J15" s="26">
        <f t="shared" si="6"/>
        <v>188.8</v>
      </c>
      <c r="K15" s="75"/>
      <c r="L15" s="75">
        <v>188.8</v>
      </c>
      <c r="M15" s="75"/>
      <c r="N15" s="25">
        <f t="shared" si="7"/>
        <v>189.4</v>
      </c>
      <c r="O15" s="75"/>
      <c r="P15" s="75">
        <v>189.4</v>
      </c>
      <c r="Q15" s="75"/>
      <c r="R15" s="25">
        <f t="shared" si="8"/>
        <v>210.4</v>
      </c>
      <c r="S15" s="75"/>
      <c r="T15" s="75">
        <v>210.4</v>
      </c>
      <c r="U15" s="75"/>
      <c r="V15" s="31">
        <f t="shared" si="4"/>
        <v>0.997</v>
      </c>
      <c r="X15" s="16"/>
    </row>
    <row r="16" spans="1:27" ht="38.25" customHeight="1">
      <c r="A16" s="9" t="s">
        <v>21</v>
      </c>
      <c r="B16" s="45" t="s">
        <v>22</v>
      </c>
      <c r="C16" s="24" t="s">
        <v>12</v>
      </c>
      <c r="D16" s="24" t="s">
        <v>12</v>
      </c>
      <c r="E16" s="24" t="s">
        <v>12</v>
      </c>
      <c r="F16" s="26">
        <f t="shared" si="0"/>
        <v>234459.6</v>
      </c>
      <c r="G16" s="25">
        <f>SUM(G18:G24)</f>
        <v>116046.1</v>
      </c>
      <c r="H16" s="25">
        <f>SUM(H18:H24)</f>
        <v>101919.1</v>
      </c>
      <c r="I16" s="25">
        <f>SUM(I18:I24)</f>
        <v>16494.400000000001</v>
      </c>
      <c r="J16" s="26">
        <f t="shared" ref="J16" si="10">K16+L16+M16</f>
        <v>231861.8</v>
      </c>
      <c r="K16" s="25">
        <f>SUM(K18:K24)</f>
        <v>115911.3</v>
      </c>
      <c r="L16" s="25">
        <f>SUM(L18:L24)</f>
        <v>99586.9</v>
      </c>
      <c r="M16" s="25">
        <f>SUM(M18:M24)</f>
        <v>16363.6</v>
      </c>
      <c r="N16" s="25">
        <f t="shared" ref="N16" si="11">O16+P16+Q16</f>
        <v>147065</v>
      </c>
      <c r="O16" s="25">
        <f>SUM(O18:O24)</f>
        <v>104919.6</v>
      </c>
      <c r="P16" s="25">
        <f>SUM(P18:P24)</f>
        <v>29143.1</v>
      </c>
      <c r="Q16" s="25">
        <f>SUM(Q18:Q24)</f>
        <v>13002.3</v>
      </c>
      <c r="R16" s="25">
        <f t="shared" ref="R16" si="12">S16+T16+U16</f>
        <v>140556.70000000001</v>
      </c>
      <c r="S16" s="25">
        <f>SUM(S18:S24)</f>
        <v>104733.9</v>
      </c>
      <c r="T16" s="25">
        <f>SUM(T18:T24)</f>
        <v>23969.9</v>
      </c>
      <c r="U16" s="25">
        <f>SUM(U18:U24)</f>
        <v>11852.9</v>
      </c>
      <c r="V16" s="35">
        <f t="shared" si="4"/>
        <v>0.98899999999999999</v>
      </c>
    </row>
    <row r="17" spans="1:22" ht="18.75">
      <c r="A17" s="36"/>
      <c r="B17" s="37" t="s">
        <v>15</v>
      </c>
      <c r="C17" s="30"/>
      <c r="D17" s="30"/>
      <c r="E17" s="30"/>
      <c r="F17" s="26"/>
      <c r="G17" s="25"/>
      <c r="H17" s="25"/>
      <c r="I17" s="25"/>
      <c r="J17" s="26"/>
      <c r="K17" s="25"/>
      <c r="L17" s="25"/>
      <c r="M17" s="25"/>
      <c r="N17" s="26"/>
      <c r="O17" s="25"/>
      <c r="P17" s="25"/>
      <c r="Q17" s="25"/>
      <c r="R17" s="26"/>
      <c r="S17" s="25"/>
      <c r="T17" s="25"/>
      <c r="U17" s="25"/>
      <c r="V17" s="35"/>
    </row>
    <row r="18" spans="1:22" ht="119.25" customHeight="1">
      <c r="A18" s="36"/>
      <c r="B18" s="83" t="s">
        <v>25</v>
      </c>
      <c r="C18" s="32">
        <v>813</v>
      </c>
      <c r="D18" s="33" t="s">
        <v>24</v>
      </c>
      <c r="E18" s="32" t="s">
        <v>169</v>
      </c>
      <c r="F18" s="26">
        <f>G18+H18+I18</f>
        <v>10710.5</v>
      </c>
      <c r="G18" s="75">
        <v>9000</v>
      </c>
      <c r="H18" s="75"/>
      <c r="I18" s="75">
        <v>1710.5</v>
      </c>
      <c r="J18" s="25">
        <f t="shared" ref="J18:J25" si="13">K18+L18+M18</f>
        <v>10710.5</v>
      </c>
      <c r="K18" s="75">
        <f>1500+3600+1200+2700</f>
        <v>9000</v>
      </c>
      <c r="L18" s="75"/>
      <c r="M18" s="75">
        <v>1710.5</v>
      </c>
      <c r="N18" s="25">
        <f t="shared" ref="N18:N25" si="14">O18+P18+Q18</f>
        <v>9719</v>
      </c>
      <c r="O18" s="75">
        <v>9000</v>
      </c>
      <c r="P18" s="75"/>
      <c r="Q18" s="75">
        <v>719</v>
      </c>
      <c r="R18" s="25">
        <f t="shared" ref="R18:R25" si="15">S18+T18+U18</f>
        <v>9629</v>
      </c>
      <c r="S18" s="75">
        <v>9000</v>
      </c>
      <c r="T18" s="75"/>
      <c r="U18" s="104">
        <v>629</v>
      </c>
      <c r="V18" s="31">
        <f t="shared" si="4"/>
        <v>1</v>
      </c>
    </row>
    <row r="19" spans="1:22" ht="78.75" customHeight="1">
      <c r="A19" s="36"/>
      <c r="B19" s="38" t="s">
        <v>167</v>
      </c>
      <c r="C19" s="32">
        <v>813</v>
      </c>
      <c r="D19" s="33" t="s">
        <v>24</v>
      </c>
      <c r="E19" s="32" t="s">
        <v>166</v>
      </c>
      <c r="F19" s="26">
        <f t="shared" si="0"/>
        <v>13078.7</v>
      </c>
      <c r="G19" s="75">
        <f>30000-17583.3</f>
        <v>12416.7</v>
      </c>
      <c r="H19" s="75"/>
      <c r="I19" s="102">
        <v>662</v>
      </c>
      <c r="J19" s="25">
        <f t="shared" si="13"/>
        <v>13078.7</v>
      </c>
      <c r="K19" s="75">
        <f>2113.4+6146.6+4156.7</f>
        <v>12416.7</v>
      </c>
      <c r="L19" s="75"/>
      <c r="M19" s="75">
        <v>662</v>
      </c>
      <c r="N19" s="25">
        <f t="shared" si="14"/>
        <v>10621.6</v>
      </c>
      <c r="O19" s="75">
        <v>10000</v>
      </c>
      <c r="P19" s="75"/>
      <c r="Q19" s="75">
        <v>621.6</v>
      </c>
      <c r="R19" s="25">
        <f t="shared" si="15"/>
        <v>10620.7</v>
      </c>
      <c r="S19" s="75">
        <v>10000</v>
      </c>
      <c r="T19" s="75"/>
      <c r="U19" s="75">
        <v>620.70000000000005</v>
      </c>
      <c r="V19" s="31">
        <f t="shared" si="4"/>
        <v>1</v>
      </c>
    </row>
    <row r="20" spans="1:22" ht="81.75" customHeight="1">
      <c r="A20" s="36"/>
      <c r="B20" s="38" t="s">
        <v>26</v>
      </c>
      <c r="C20" s="32">
        <v>813</v>
      </c>
      <c r="D20" s="33" t="s">
        <v>24</v>
      </c>
      <c r="E20" s="32" t="s">
        <v>168</v>
      </c>
      <c r="F20" s="26">
        <f t="shared" si="0"/>
        <v>99502.8</v>
      </c>
      <c r="G20" s="75">
        <v>86353.2</v>
      </c>
      <c r="H20" s="75"/>
      <c r="I20" s="75">
        <v>13149.6</v>
      </c>
      <c r="J20" s="25">
        <f t="shared" si="13"/>
        <v>99390.3</v>
      </c>
      <c r="K20" s="75">
        <v>86353.2</v>
      </c>
      <c r="L20" s="75"/>
      <c r="M20" s="108">
        <v>13037.1</v>
      </c>
      <c r="N20" s="25">
        <f t="shared" si="14"/>
        <v>93594.8</v>
      </c>
      <c r="O20" s="75">
        <v>82177.2</v>
      </c>
      <c r="P20" s="75"/>
      <c r="Q20" s="75">
        <v>11417.6</v>
      </c>
      <c r="R20" s="25">
        <f t="shared" si="15"/>
        <v>92519.1</v>
      </c>
      <c r="S20" s="75">
        <v>82177.2</v>
      </c>
      <c r="T20" s="75"/>
      <c r="U20" s="75">
        <v>10341.9</v>
      </c>
      <c r="V20" s="31">
        <f t="shared" si="4"/>
        <v>0.999</v>
      </c>
    </row>
    <row r="21" spans="1:22" ht="89.25" customHeight="1">
      <c r="A21" s="36"/>
      <c r="B21" s="38" t="s">
        <v>125</v>
      </c>
      <c r="C21" s="32">
        <v>813</v>
      </c>
      <c r="D21" s="33" t="s">
        <v>24</v>
      </c>
      <c r="E21" s="32" t="s">
        <v>126</v>
      </c>
      <c r="F21" s="26">
        <f t="shared" si="0"/>
        <v>8371.2999999999993</v>
      </c>
      <c r="G21" s="75">
        <v>3000</v>
      </c>
      <c r="H21" s="75">
        <v>5137.7</v>
      </c>
      <c r="I21" s="75">
        <v>233.6</v>
      </c>
      <c r="J21" s="25">
        <f t="shared" si="13"/>
        <v>8186.3</v>
      </c>
      <c r="K21" s="75">
        <v>2933.8</v>
      </c>
      <c r="L21" s="75">
        <v>5024.3999999999996</v>
      </c>
      <c r="M21" s="75">
        <v>228.1</v>
      </c>
      <c r="N21" s="25">
        <f t="shared" si="14"/>
        <v>8381.7999999999993</v>
      </c>
      <c r="O21" s="75">
        <v>3000</v>
      </c>
      <c r="P21" s="75">
        <v>5137.7</v>
      </c>
      <c r="Q21" s="75">
        <v>244.1</v>
      </c>
      <c r="R21" s="25">
        <f t="shared" si="15"/>
        <v>9231.2000000000007</v>
      </c>
      <c r="S21" s="75">
        <v>3000</v>
      </c>
      <c r="T21" s="75">
        <v>5969.9</v>
      </c>
      <c r="U21" s="75">
        <v>261.3</v>
      </c>
      <c r="V21" s="31">
        <f t="shared" si="4"/>
        <v>0.97799999999999998</v>
      </c>
    </row>
    <row r="22" spans="1:22" ht="75.75" customHeight="1">
      <c r="A22" s="36"/>
      <c r="B22" s="38" t="s">
        <v>127</v>
      </c>
      <c r="C22" s="32" t="s">
        <v>258</v>
      </c>
      <c r="D22" s="33" t="s">
        <v>19</v>
      </c>
      <c r="E22" s="32" t="s">
        <v>128</v>
      </c>
      <c r="F22" s="26">
        <f t="shared" si="0"/>
        <v>75536</v>
      </c>
      <c r="G22" s="75">
        <v>2253.5</v>
      </c>
      <c r="H22" s="75">
        <v>72862.399999999994</v>
      </c>
      <c r="I22" s="75">
        <v>420.1</v>
      </c>
      <c r="J22" s="25">
        <f t="shared" si="13"/>
        <v>73235.7</v>
      </c>
      <c r="K22" s="75">
        <v>2184.9</v>
      </c>
      <c r="L22" s="75">
        <v>70643.5</v>
      </c>
      <c r="M22" s="75">
        <v>407.3</v>
      </c>
      <c r="N22" s="25">
        <f t="shared" si="14"/>
        <v>0</v>
      </c>
      <c r="O22" s="75">
        <v>0</v>
      </c>
      <c r="P22" s="75"/>
      <c r="Q22" s="75">
        <v>0</v>
      </c>
      <c r="R22" s="25">
        <f t="shared" si="15"/>
        <v>0</v>
      </c>
      <c r="S22" s="75">
        <v>0</v>
      </c>
      <c r="T22" s="75"/>
      <c r="U22" s="110">
        <v>0</v>
      </c>
      <c r="V22" s="31">
        <f t="shared" si="4"/>
        <v>0.97</v>
      </c>
    </row>
    <row r="23" spans="1:22" ht="84" customHeight="1">
      <c r="A23" s="36"/>
      <c r="B23" s="38" t="s">
        <v>23</v>
      </c>
      <c r="C23" s="32">
        <v>813</v>
      </c>
      <c r="D23" s="33" t="s">
        <v>24</v>
      </c>
      <c r="E23" s="32" t="s">
        <v>129</v>
      </c>
      <c r="F23" s="26">
        <f t="shared" si="0"/>
        <v>8703.6</v>
      </c>
      <c r="G23" s="75">
        <v>2466</v>
      </c>
      <c r="H23" s="75">
        <v>5919</v>
      </c>
      <c r="I23" s="75">
        <v>318.60000000000002</v>
      </c>
      <c r="J23" s="25">
        <f t="shared" si="13"/>
        <v>8703.6</v>
      </c>
      <c r="K23" s="75">
        <v>2466</v>
      </c>
      <c r="L23" s="75">
        <v>5919</v>
      </c>
      <c r="M23" s="75">
        <v>318.60000000000002</v>
      </c>
      <c r="N23" s="25">
        <f t="shared" si="14"/>
        <v>6191.1</v>
      </c>
      <c r="O23" s="75">
        <v>185.7</v>
      </c>
      <c r="P23" s="75">
        <v>6005.4</v>
      </c>
      <c r="Q23" s="75"/>
      <c r="R23" s="25">
        <f t="shared" si="15"/>
        <v>0</v>
      </c>
      <c r="S23" s="75">
        <v>0</v>
      </c>
      <c r="T23" s="75"/>
      <c r="U23" s="75"/>
      <c r="V23" s="31">
        <f t="shared" si="4"/>
        <v>1</v>
      </c>
    </row>
    <row r="24" spans="1:22" ht="84.75" customHeight="1">
      <c r="A24" s="36"/>
      <c r="B24" s="38" t="s">
        <v>130</v>
      </c>
      <c r="C24" s="32">
        <v>813</v>
      </c>
      <c r="D24" s="33" t="s">
        <v>24</v>
      </c>
      <c r="E24" s="32" t="s">
        <v>131</v>
      </c>
      <c r="F24" s="26">
        <f t="shared" si="0"/>
        <v>18556.7</v>
      </c>
      <c r="G24" s="75">
        <v>556.70000000000005</v>
      </c>
      <c r="H24" s="75">
        <v>18000</v>
      </c>
      <c r="I24" s="75"/>
      <c r="J24" s="25">
        <f t="shared" si="13"/>
        <v>18556.7</v>
      </c>
      <c r="K24" s="75">
        <v>556.70000000000005</v>
      </c>
      <c r="L24" s="75">
        <v>18000</v>
      </c>
      <c r="M24" s="75"/>
      <c r="N24" s="25">
        <f t="shared" si="14"/>
        <v>18556.7</v>
      </c>
      <c r="O24" s="75">
        <v>556.70000000000005</v>
      </c>
      <c r="P24" s="75">
        <v>18000</v>
      </c>
      <c r="Q24" s="75"/>
      <c r="R24" s="25">
        <f t="shared" si="15"/>
        <v>18556.7</v>
      </c>
      <c r="S24" s="75">
        <v>556.70000000000005</v>
      </c>
      <c r="T24" s="75">
        <v>18000</v>
      </c>
      <c r="U24" s="75"/>
      <c r="V24" s="31">
        <f t="shared" si="4"/>
        <v>1</v>
      </c>
    </row>
    <row r="25" spans="1:22" ht="42" customHeight="1">
      <c r="A25" s="9" t="s">
        <v>27</v>
      </c>
      <c r="B25" s="45" t="s">
        <v>229</v>
      </c>
      <c r="C25" s="24" t="s">
        <v>12</v>
      </c>
      <c r="D25" s="24" t="s">
        <v>12</v>
      </c>
      <c r="E25" s="24" t="s">
        <v>12</v>
      </c>
      <c r="F25" s="26">
        <f t="shared" si="0"/>
        <v>357099.5</v>
      </c>
      <c r="G25" s="25">
        <f>SUM(G27:G30)</f>
        <v>158511.79999999999</v>
      </c>
      <c r="H25" s="25">
        <f>SUM(H27:H30)</f>
        <v>121197.8</v>
      </c>
      <c r="I25" s="25">
        <f>SUM(I27:I30)</f>
        <v>77389.899999999994</v>
      </c>
      <c r="J25" s="26">
        <f t="shared" si="13"/>
        <v>335546.8</v>
      </c>
      <c r="K25" s="25">
        <f>SUM(K27:K30)</f>
        <v>158426</v>
      </c>
      <c r="L25" s="25">
        <f>SUM(L27:L30)</f>
        <v>118425.5</v>
      </c>
      <c r="M25" s="25">
        <f>SUM(M27:M30)</f>
        <v>58695.3</v>
      </c>
      <c r="N25" s="25">
        <f t="shared" si="14"/>
        <v>9202.1</v>
      </c>
      <c r="O25" s="25">
        <f>SUM(O27:O30)</f>
        <v>276.2</v>
      </c>
      <c r="P25" s="25">
        <f>SUM(P27:P30)</f>
        <v>8925.9</v>
      </c>
      <c r="Q25" s="25">
        <f>SUM(Q27:Q30)</f>
        <v>0</v>
      </c>
      <c r="R25" s="25">
        <f t="shared" si="15"/>
        <v>5500.1</v>
      </c>
      <c r="S25" s="25">
        <f>SUM(S27:S30)</f>
        <v>165.1</v>
      </c>
      <c r="T25" s="25">
        <f>SUM(T27:T30)</f>
        <v>5335</v>
      </c>
      <c r="U25" s="25">
        <f>SUM(U27:U30)</f>
        <v>0</v>
      </c>
      <c r="V25" s="27">
        <f t="shared" si="4"/>
        <v>0.94</v>
      </c>
    </row>
    <row r="26" spans="1:22" ht="18.75">
      <c r="A26" s="22"/>
      <c r="B26" s="37" t="s">
        <v>15</v>
      </c>
      <c r="C26" s="30"/>
      <c r="D26" s="30"/>
      <c r="E26" s="30"/>
      <c r="F26" s="26"/>
      <c r="G26" s="25"/>
      <c r="H26" s="25"/>
      <c r="I26" s="25"/>
      <c r="J26" s="26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7"/>
    </row>
    <row r="27" spans="1:22" ht="46.5" customHeight="1">
      <c r="A27" s="90"/>
      <c r="B27" s="91" t="s">
        <v>112</v>
      </c>
      <c r="C27" s="92" t="s">
        <v>259</v>
      </c>
      <c r="D27" s="93" t="s">
        <v>16</v>
      </c>
      <c r="E27" s="32" t="s">
        <v>204</v>
      </c>
      <c r="F27" s="26">
        <f t="shared" si="0"/>
        <v>10000</v>
      </c>
      <c r="G27" s="75">
        <v>300</v>
      </c>
      <c r="H27" s="75">
        <v>9700</v>
      </c>
      <c r="I27" s="99"/>
      <c r="J27" s="26">
        <f>K27+L27+M27</f>
        <v>10000</v>
      </c>
      <c r="K27" s="75">
        <v>300</v>
      </c>
      <c r="L27" s="75">
        <v>9700</v>
      </c>
      <c r="M27" s="75"/>
      <c r="N27" s="25">
        <f t="shared" ref="N27:N31" si="16">O27+P27+Q27</f>
        <v>5500.1</v>
      </c>
      <c r="O27" s="75">
        <v>165.1</v>
      </c>
      <c r="P27" s="75">
        <v>5335</v>
      </c>
      <c r="Q27" s="75"/>
      <c r="R27" s="25">
        <f t="shared" ref="R27:R31" si="17">S27+T27+U27</f>
        <v>5500.1</v>
      </c>
      <c r="S27" s="75">
        <v>165.1</v>
      </c>
      <c r="T27" s="75">
        <v>5335</v>
      </c>
      <c r="U27" s="75"/>
      <c r="V27" s="31">
        <f t="shared" si="4"/>
        <v>1</v>
      </c>
    </row>
    <row r="28" spans="1:22" ht="87" customHeight="1">
      <c r="A28" s="22"/>
      <c r="B28" s="94" t="s">
        <v>354</v>
      </c>
      <c r="C28" s="32" t="s">
        <v>258</v>
      </c>
      <c r="D28" s="33" t="s">
        <v>19</v>
      </c>
      <c r="E28" s="32" t="s">
        <v>352</v>
      </c>
      <c r="F28" s="26">
        <f t="shared" ref="F28:F29" si="18">G28+H28+I28</f>
        <v>115061.3</v>
      </c>
      <c r="G28" s="75">
        <v>3448.4</v>
      </c>
      <c r="H28" s="75">
        <v>111497.8</v>
      </c>
      <c r="I28" s="99">
        <v>115.1</v>
      </c>
      <c r="J28" s="26">
        <f t="shared" ref="J28:J29" si="19">K28+L28+M28</f>
        <v>112200.3</v>
      </c>
      <c r="K28" s="75">
        <v>3362.6</v>
      </c>
      <c r="L28" s="75">
        <v>108725.5</v>
      </c>
      <c r="M28" s="75">
        <v>112.2</v>
      </c>
      <c r="N28" s="25">
        <f t="shared" ref="N28:N29" si="20">O28+P28+Q28</f>
        <v>0</v>
      </c>
      <c r="O28" s="75"/>
      <c r="P28" s="75"/>
      <c r="Q28" s="75"/>
      <c r="R28" s="25">
        <f t="shared" ref="R28:R29" si="21">S28+T28+U28</f>
        <v>0</v>
      </c>
      <c r="S28" s="75"/>
      <c r="T28" s="75"/>
      <c r="U28" s="75"/>
      <c r="V28" s="31">
        <f t="shared" ref="V28:V29" si="22">J28/F28</f>
        <v>0.97499999999999998</v>
      </c>
    </row>
    <row r="29" spans="1:22" ht="90" customHeight="1">
      <c r="A29" s="22"/>
      <c r="B29" s="94" t="s">
        <v>354</v>
      </c>
      <c r="C29" s="32" t="s">
        <v>258</v>
      </c>
      <c r="D29" s="33" t="s">
        <v>19</v>
      </c>
      <c r="E29" s="32" t="s">
        <v>353</v>
      </c>
      <c r="F29" s="26">
        <f t="shared" si="18"/>
        <v>232038.2</v>
      </c>
      <c r="G29" s="75">
        <v>154763.4</v>
      </c>
      <c r="H29" s="75"/>
      <c r="I29" s="99">
        <v>77274.8</v>
      </c>
      <c r="J29" s="26">
        <f t="shared" si="19"/>
        <v>213346.5</v>
      </c>
      <c r="K29" s="75">
        <v>154763.4</v>
      </c>
      <c r="L29" s="75"/>
      <c r="M29" s="75">
        <v>58583.1</v>
      </c>
      <c r="N29" s="25">
        <f t="shared" si="20"/>
        <v>0</v>
      </c>
      <c r="O29" s="75"/>
      <c r="P29" s="75"/>
      <c r="Q29" s="75"/>
      <c r="R29" s="25">
        <f t="shared" si="21"/>
        <v>0</v>
      </c>
      <c r="S29" s="75"/>
      <c r="T29" s="75"/>
      <c r="U29" s="75"/>
      <c r="V29" s="31">
        <f t="shared" si="22"/>
        <v>0.91900000000000004</v>
      </c>
    </row>
    <row r="30" spans="1:22" ht="135.75" customHeight="1">
      <c r="A30" s="22"/>
      <c r="B30" s="83" t="s">
        <v>143</v>
      </c>
      <c r="C30" s="32">
        <v>815</v>
      </c>
      <c r="D30" s="33" t="s">
        <v>48</v>
      </c>
      <c r="E30" s="32" t="s">
        <v>144</v>
      </c>
      <c r="F30" s="26">
        <f t="shared" ref="F30" si="23">G30+H30+I30</f>
        <v>0</v>
      </c>
      <c r="G30" s="75"/>
      <c r="H30" s="75"/>
      <c r="I30" s="75"/>
      <c r="J30" s="26">
        <f t="shared" ref="J30" si="24">K30+L30+M30</f>
        <v>0</v>
      </c>
      <c r="K30" s="75"/>
      <c r="L30" s="75"/>
      <c r="M30" s="75"/>
      <c r="N30" s="25">
        <f t="shared" ref="N30" si="25">O30+P30+Q30</f>
        <v>3702</v>
      </c>
      <c r="O30" s="75">
        <v>111.06</v>
      </c>
      <c r="P30" s="75">
        <v>3590.9</v>
      </c>
      <c r="Q30" s="75"/>
      <c r="R30" s="25">
        <f t="shared" ref="R30" si="26">S30+T30+U30</f>
        <v>0</v>
      </c>
      <c r="S30" s="75">
        <v>0</v>
      </c>
      <c r="T30" s="75">
        <v>0</v>
      </c>
      <c r="U30" s="75"/>
      <c r="V30" s="31" t="e">
        <f t="shared" si="4"/>
        <v>#DIV/0!</v>
      </c>
    </row>
    <row r="31" spans="1:22" ht="45.75" customHeight="1">
      <c r="A31" s="9" t="s">
        <v>28</v>
      </c>
      <c r="B31" s="45" t="s">
        <v>29</v>
      </c>
      <c r="C31" s="24" t="s">
        <v>12</v>
      </c>
      <c r="D31" s="24" t="s">
        <v>12</v>
      </c>
      <c r="E31" s="24" t="s">
        <v>12</v>
      </c>
      <c r="F31" s="26">
        <f>G31+H31+I31</f>
        <v>1914159.1</v>
      </c>
      <c r="G31" s="25">
        <f>SUM(G33:G36)</f>
        <v>202327.6</v>
      </c>
      <c r="H31" s="25">
        <f>SUM(H33:H36)</f>
        <v>1711831.5</v>
      </c>
      <c r="I31" s="25">
        <f>SUM(I33:I36)</f>
        <v>0</v>
      </c>
      <c r="J31" s="26">
        <f t="shared" ref="J31" si="27">K31+L31+M31</f>
        <v>1904512.6</v>
      </c>
      <c r="K31" s="25">
        <f>SUM(K33:K36)</f>
        <v>192743.3</v>
      </c>
      <c r="L31" s="25">
        <f>SUM(L33:L36)</f>
        <v>1711769.3</v>
      </c>
      <c r="M31" s="25">
        <f>SUM(M33:M36)</f>
        <v>0</v>
      </c>
      <c r="N31" s="25">
        <f t="shared" si="16"/>
        <v>2082467.1</v>
      </c>
      <c r="O31" s="25">
        <f>SUM(O33:O36)</f>
        <v>107226</v>
      </c>
      <c r="P31" s="25">
        <f>SUM(P33:P36)</f>
        <v>1975241.1</v>
      </c>
      <c r="Q31" s="25">
        <f>SUM(Q33:Q36)</f>
        <v>0</v>
      </c>
      <c r="R31" s="25">
        <f t="shared" si="17"/>
        <v>2178279.7000000002</v>
      </c>
      <c r="S31" s="25">
        <f>SUM(S33:S36)</f>
        <v>113235</v>
      </c>
      <c r="T31" s="25">
        <f>SUM(T33:T36)</f>
        <v>2065044.7</v>
      </c>
      <c r="U31" s="25">
        <f>SUM(U33:U36)</f>
        <v>0</v>
      </c>
      <c r="V31" s="27">
        <f t="shared" si="4"/>
        <v>0.995</v>
      </c>
    </row>
    <row r="32" spans="1:22" ht="18.75">
      <c r="A32" s="22"/>
      <c r="B32" s="37" t="s">
        <v>15</v>
      </c>
      <c r="C32" s="30"/>
      <c r="D32" s="39"/>
      <c r="E32" s="30"/>
      <c r="F32" s="26"/>
      <c r="G32" s="25"/>
      <c r="H32" s="25"/>
      <c r="I32" s="25"/>
      <c r="J32" s="26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7"/>
    </row>
    <row r="33" spans="1:101" ht="73.5" customHeight="1">
      <c r="A33" s="22"/>
      <c r="B33" s="38" t="s">
        <v>31</v>
      </c>
      <c r="C33" s="32">
        <v>809</v>
      </c>
      <c r="D33" s="33" t="s">
        <v>20</v>
      </c>
      <c r="E33" s="32" t="s">
        <v>152</v>
      </c>
      <c r="F33" s="26">
        <f>G33+H33+I33</f>
        <v>553293.69999999995</v>
      </c>
      <c r="G33" s="75">
        <v>71928.2</v>
      </c>
      <c r="H33" s="75">
        <v>481365.5</v>
      </c>
      <c r="I33" s="75"/>
      <c r="J33" s="26">
        <f t="shared" ref="J33:J35" si="28">K33+L33+M33</f>
        <v>553257.69999999995</v>
      </c>
      <c r="K33" s="75">
        <v>71923.5</v>
      </c>
      <c r="L33" s="75">
        <v>481334.2</v>
      </c>
      <c r="M33" s="75"/>
      <c r="N33" s="25">
        <f t="shared" ref="N33:N35" si="29">O33+P33+Q33</f>
        <v>824815.6</v>
      </c>
      <c r="O33" s="75">
        <v>107226</v>
      </c>
      <c r="P33" s="75">
        <v>717589.6</v>
      </c>
      <c r="Q33" s="75"/>
      <c r="R33" s="25">
        <f t="shared" ref="R33:R35" si="30">S33+T33+U33</f>
        <v>871038.2</v>
      </c>
      <c r="S33" s="75">
        <v>113235</v>
      </c>
      <c r="T33" s="75">
        <v>757803.2</v>
      </c>
      <c r="U33" s="75"/>
      <c r="V33" s="31">
        <f t="shared" si="4"/>
        <v>1</v>
      </c>
    </row>
    <row r="34" spans="1:101" ht="87" customHeight="1">
      <c r="A34" s="22"/>
      <c r="B34" s="101" t="s">
        <v>379</v>
      </c>
      <c r="C34" s="32">
        <v>809</v>
      </c>
      <c r="D34" s="33" t="s">
        <v>20</v>
      </c>
      <c r="E34" s="32" t="s">
        <v>378</v>
      </c>
      <c r="F34" s="26">
        <f>G34+H34+I34</f>
        <v>13367.7</v>
      </c>
      <c r="G34" s="75">
        <v>1737.8</v>
      </c>
      <c r="H34" s="75">
        <v>11629.9</v>
      </c>
      <c r="I34" s="75"/>
      <c r="J34" s="26">
        <f t="shared" si="28"/>
        <v>13360.6</v>
      </c>
      <c r="K34" s="75">
        <v>1736.9</v>
      </c>
      <c r="L34" s="75">
        <v>11623.7</v>
      </c>
      <c r="M34" s="75"/>
      <c r="N34" s="25">
        <f t="shared" si="29"/>
        <v>0</v>
      </c>
      <c r="O34" s="75"/>
      <c r="P34" s="75"/>
      <c r="Q34" s="75"/>
      <c r="R34" s="25">
        <f t="shared" si="30"/>
        <v>0</v>
      </c>
      <c r="S34" s="75"/>
      <c r="T34" s="75"/>
      <c r="U34" s="75"/>
      <c r="V34" s="31">
        <f t="shared" si="4"/>
        <v>0.999</v>
      </c>
    </row>
    <row r="35" spans="1:101" ht="48" customHeight="1">
      <c r="A35" s="22"/>
      <c r="B35" s="38" t="s">
        <v>30</v>
      </c>
      <c r="C35" s="32">
        <v>809</v>
      </c>
      <c r="D35" s="33" t="s">
        <v>20</v>
      </c>
      <c r="E35" s="32" t="s">
        <v>153</v>
      </c>
      <c r="F35" s="26">
        <f t="shared" si="0"/>
        <v>1218836.1000000001</v>
      </c>
      <c r="G35" s="75"/>
      <c r="H35" s="75">
        <v>1218836.1000000001</v>
      </c>
      <c r="I35" s="75"/>
      <c r="J35" s="26">
        <f t="shared" si="28"/>
        <v>1218811.3999999999</v>
      </c>
      <c r="K35" s="75"/>
      <c r="L35" s="75">
        <v>1218811.3999999999</v>
      </c>
      <c r="M35" s="75"/>
      <c r="N35" s="25">
        <f t="shared" si="29"/>
        <v>1257651.5</v>
      </c>
      <c r="O35" s="75"/>
      <c r="P35" s="75">
        <v>1257651.5</v>
      </c>
      <c r="Q35" s="75"/>
      <c r="R35" s="25">
        <f t="shared" si="30"/>
        <v>1307241.5</v>
      </c>
      <c r="S35" s="75"/>
      <c r="T35" s="75">
        <v>1307241.5</v>
      </c>
      <c r="U35" s="75"/>
      <c r="V35" s="31">
        <f t="shared" si="4"/>
        <v>1</v>
      </c>
    </row>
    <row r="36" spans="1:101" ht="93" customHeight="1">
      <c r="A36" s="22"/>
      <c r="B36" s="38" t="s">
        <v>212</v>
      </c>
      <c r="C36" s="32">
        <v>809</v>
      </c>
      <c r="D36" s="33" t="s">
        <v>20</v>
      </c>
      <c r="E36" s="32" t="s">
        <v>164</v>
      </c>
      <c r="F36" s="26">
        <f t="shared" ref="F36" si="31">G36+H36+I36</f>
        <v>128661.6</v>
      </c>
      <c r="G36" s="75">
        <v>128661.6</v>
      </c>
      <c r="H36" s="75"/>
      <c r="I36" s="75"/>
      <c r="J36" s="25">
        <f t="shared" ref="J36" si="32">K36+L36+M36</f>
        <v>119082.9</v>
      </c>
      <c r="K36" s="75">
        <v>119082.9</v>
      </c>
      <c r="L36" s="75"/>
      <c r="M36" s="75"/>
      <c r="N36" s="25">
        <f t="shared" ref="N36" si="33">O36+P36+Q36</f>
        <v>0</v>
      </c>
      <c r="O36" s="75"/>
      <c r="P36" s="75"/>
      <c r="Q36" s="75"/>
      <c r="R36" s="25">
        <f t="shared" ref="R36" si="34">S36+T36+U36</f>
        <v>0</v>
      </c>
      <c r="S36" s="75"/>
      <c r="T36" s="75"/>
      <c r="U36" s="75"/>
      <c r="V36" s="31">
        <f t="shared" ref="V36" si="35">J36/F36</f>
        <v>0.92600000000000005</v>
      </c>
    </row>
    <row r="37" spans="1:101" ht="24" customHeight="1">
      <c r="A37" s="19" t="s">
        <v>32</v>
      </c>
      <c r="B37" s="40" t="s">
        <v>33</v>
      </c>
      <c r="C37" s="41" t="s">
        <v>12</v>
      </c>
      <c r="D37" s="41" t="s">
        <v>12</v>
      </c>
      <c r="E37" s="41" t="s">
        <v>12</v>
      </c>
      <c r="F37" s="42">
        <f t="shared" si="0"/>
        <v>3769643.2</v>
      </c>
      <c r="G37" s="42">
        <f>G38+G42+G46+G54+G57</f>
        <v>797408.8</v>
      </c>
      <c r="H37" s="42">
        <f t="shared" ref="H37" si="36">H38+H42+H46+H54+H57</f>
        <v>2972234.4</v>
      </c>
      <c r="I37" s="42">
        <f>I38+I42+I46+I54+I57</f>
        <v>0</v>
      </c>
      <c r="J37" s="42">
        <f t="shared" ref="J37:J38" si="37">K37+L37+M37</f>
        <v>2764742.1</v>
      </c>
      <c r="K37" s="42">
        <f>K38+K42+K46+K54+K57</f>
        <v>664413.1</v>
      </c>
      <c r="L37" s="42">
        <f t="shared" ref="L37:M37" si="38">L38+L42+L46+L54+L57</f>
        <v>2100329</v>
      </c>
      <c r="M37" s="42">
        <f t="shared" si="38"/>
        <v>0</v>
      </c>
      <c r="N37" s="42">
        <f t="shared" ref="N37:N38" si="39">O37+P37+Q37</f>
        <v>1266859</v>
      </c>
      <c r="O37" s="42">
        <f>O38+O42+O46+O54+O57</f>
        <v>191286.3</v>
      </c>
      <c r="P37" s="42">
        <f>P38+P42+P46+P54+P57</f>
        <v>1075572.7</v>
      </c>
      <c r="Q37" s="42">
        <f>Q38+Q42+Q46+Q54+Q57</f>
        <v>0</v>
      </c>
      <c r="R37" s="42">
        <f t="shared" ref="R37:R38" si="40">S37+T37+U37</f>
        <v>1317986.5</v>
      </c>
      <c r="S37" s="42">
        <f>S38+S42+S46+S54+S57</f>
        <v>163759.4</v>
      </c>
      <c r="T37" s="42">
        <f>T38+T42+T46+T54+T57</f>
        <v>1154227.1000000001</v>
      </c>
      <c r="U37" s="42">
        <f>U38+U42+U46+U54+U57</f>
        <v>0</v>
      </c>
      <c r="V37" s="43">
        <f t="shared" si="4"/>
        <v>0.73299999999999998</v>
      </c>
    </row>
    <row r="38" spans="1:101" ht="51.75" customHeight="1">
      <c r="A38" s="22" t="s">
        <v>34</v>
      </c>
      <c r="B38" s="44" t="s">
        <v>35</v>
      </c>
      <c r="C38" s="24" t="s">
        <v>12</v>
      </c>
      <c r="D38" s="24" t="s">
        <v>12</v>
      </c>
      <c r="E38" s="24" t="s">
        <v>12</v>
      </c>
      <c r="F38" s="26">
        <f t="shared" si="0"/>
        <v>366990.3</v>
      </c>
      <c r="G38" s="25">
        <f>SUM(G40:G41)</f>
        <v>266925.09999999998</v>
      </c>
      <c r="H38" s="25">
        <f>SUM(H40:H41)</f>
        <v>100065.2</v>
      </c>
      <c r="I38" s="25">
        <f>SUM(I40:I41)</f>
        <v>0</v>
      </c>
      <c r="J38" s="26">
        <f t="shared" si="37"/>
        <v>366990.3</v>
      </c>
      <c r="K38" s="25">
        <f>SUM(K40:K41)</f>
        <v>266925.09999999998</v>
      </c>
      <c r="L38" s="25">
        <f>SUM(L40:L41)</f>
        <v>100065.2</v>
      </c>
      <c r="M38" s="25">
        <f>SUM(M40:M41)</f>
        <v>0</v>
      </c>
      <c r="N38" s="26">
        <f t="shared" si="39"/>
        <v>226690.3</v>
      </c>
      <c r="O38" s="25">
        <f>SUM(O40:O41)</f>
        <v>139352.6</v>
      </c>
      <c r="P38" s="25">
        <f>SUM(P40:P41)</f>
        <v>87337.7</v>
      </c>
      <c r="Q38" s="25">
        <f>SUM(Q40:Q41)</f>
        <v>0</v>
      </c>
      <c r="R38" s="26">
        <f t="shared" si="40"/>
        <v>226690.3</v>
      </c>
      <c r="S38" s="25">
        <f>SUM(S40:S41)</f>
        <v>121119.4</v>
      </c>
      <c r="T38" s="25">
        <f>SUM(T40:T41)</f>
        <v>105570.9</v>
      </c>
      <c r="U38" s="25">
        <f>SUM(U40:U41)</f>
        <v>0</v>
      </c>
      <c r="V38" s="35">
        <f t="shared" si="4"/>
        <v>1</v>
      </c>
    </row>
    <row r="39" spans="1:101" ht="24" customHeight="1">
      <c r="A39" s="36"/>
      <c r="B39" s="37" t="s">
        <v>15</v>
      </c>
      <c r="C39" s="30"/>
      <c r="D39" s="30"/>
      <c r="E39" s="30"/>
      <c r="F39" s="26"/>
      <c r="G39" s="25"/>
      <c r="H39" s="25"/>
      <c r="I39" s="25"/>
      <c r="J39" s="26"/>
      <c r="K39" s="25"/>
      <c r="L39" s="25"/>
      <c r="M39" s="25"/>
      <c r="N39" s="26"/>
      <c r="O39" s="25"/>
      <c r="P39" s="25"/>
      <c r="Q39" s="25"/>
      <c r="R39" s="26"/>
      <c r="S39" s="25"/>
      <c r="T39" s="25"/>
      <c r="U39" s="25"/>
      <c r="V39" s="35"/>
    </row>
    <row r="40" spans="1:101" ht="54" customHeight="1">
      <c r="A40" s="36"/>
      <c r="B40" s="38" t="s">
        <v>222</v>
      </c>
      <c r="C40" s="32">
        <v>811</v>
      </c>
      <c r="D40" s="33" t="s">
        <v>17</v>
      </c>
      <c r="E40" s="32" t="s">
        <v>118</v>
      </c>
      <c r="F40" s="26">
        <f t="shared" si="0"/>
        <v>198000</v>
      </c>
      <c r="G40" s="75">
        <v>97934.8</v>
      </c>
      <c r="H40" s="75">
        <v>100065.2</v>
      </c>
      <c r="I40" s="75"/>
      <c r="J40" s="26">
        <f t="shared" ref="J40:J42" si="41">K40+L40+M40</f>
        <v>198000</v>
      </c>
      <c r="K40" s="75">
        <v>97934.8</v>
      </c>
      <c r="L40" s="75">
        <v>100065.2</v>
      </c>
      <c r="M40" s="75"/>
      <c r="N40" s="26">
        <f t="shared" ref="N40:N42" si="42">O40+P40+Q40</f>
        <v>198000</v>
      </c>
      <c r="O40" s="75">
        <v>110662.3</v>
      </c>
      <c r="P40" s="75">
        <v>87337.7</v>
      </c>
      <c r="Q40" s="75"/>
      <c r="R40" s="26">
        <f t="shared" ref="R40:R42" si="43">S40+T40+U40</f>
        <v>198000</v>
      </c>
      <c r="S40" s="75">
        <v>92429.1</v>
      </c>
      <c r="T40" s="75">
        <v>105570.9</v>
      </c>
      <c r="U40" s="75"/>
      <c r="V40" s="31">
        <f t="shared" si="4"/>
        <v>1</v>
      </c>
    </row>
    <row r="41" spans="1:101" ht="55.5" customHeight="1">
      <c r="A41" s="36"/>
      <c r="B41" s="38" t="s">
        <v>36</v>
      </c>
      <c r="C41" s="32">
        <v>811</v>
      </c>
      <c r="D41" s="33" t="s">
        <v>17</v>
      </c>
      <c r="E41" s="32" t="s">
        <v>165</v>
      </c>
      <c r="F41" s="26">
        <f t="shared" si="0"/>
        <v>168990.3</v>
      </c>
      <c r="G41" s="75">
        <v>168990.3</v>
      </c>
      <c r="H41" s="75"/>
      <c r="I41" s="75"/>
      <c r="J41" s="26">
        <f t="shared" si="41"/>
        <v>168990.3</v>
      </c>
      <c r="K41" s="75">
        <v>168990.3</v>
      </c>
      <c r="L41" s="75"/>
      <c r="M41" s="75"/>
      <c r="N41" s="26">
        <f t="shared" si="42"/>
        <v>28690.3</v>
      </c>
      <c r="O41" s="75">
        <v>28690.3</v>
      </c>
      <c r="P41" s="75"/>
      <c r="Q41" s="75"/>
      <c r="R41" s="26">
        <f t="shared" si="43"/>
        <v>28690.3</v>
      </c>
      <c r="S41" s="75">
        <v>28690.3</v>
      </c>
      <c r="T41" s="75"/>
      <c r="U41" s="75"/>
      <c r="V41" s="31">
        <f t="shared" si="4"/>
        <v>1</v>
      </c>
    </row>
    <row r="42" spans="1:101" ht="36.75" customHeight="1">
      <c r="A42" s="22" t="s">
        <v>37</v>
      </c>
      <c r="B42" s="45" t="s">
        <v>38</v>
      </c>
      <c r="C42" s="24" t="s">
        <v>12</v>
      </c>
      <c r="D42" s="24" t="s">
        <v>12</v>
      </c>
      <c r="E42" s="24" t="s">
        <v>12</v>
      </c>
      <c r="F42" s="26">
        <f t="shared" ref="F42:F106" si="44">G42+H42+I42</f>
        <v>177383.1</v>
      </c>
      <c r="G42" s="25">
        <f>SUM(G44:G45)</f>
        <v>1629.2</v>
      </c>
      <c r="H42" s="25">
        <f>SUM(H44:H45)</f>
        <v>175753.9</v>
      </c>
      <c r="I42" s="25">
        <f>SUM(I44:I45)</f>
        <v>0</v>
      </c>
      <c r="J42" s="26">
        <f t="shared" si="41"/>
        <v>176806.39999999999</v>
      </c>
      <c r="K42" s="25">
        <f>SUM(K44:K45)</f>
        <v>1620.4</v>
      </c>
      <c r="L42" s="25">
        <f>SUM(L44:L45)</f>
        <v>175186</v>
      </c>
      <c r="M42" s="25">
        <f>SUM(M44:M45)</f>
        <v>0</v>
      </c>
      <c r="N42" s="26">
        <f t="shared" si="42"/>
        <v>120419.7</v>
      </c>
      <c r="O42" s="25">
        <f>SUM(O44:O45)</f>
        <v>1607.3</v>
      </c>
      <c r="P42" s="25">
        <f>SUM(P44:P45)</f>
        <v>118812.4</v>
      </c>
      <c r="Q42" s="25">
        <f>SUM(Q44:Q45)</f>
        <v>0</v>
      </c>
      <c r="R42" s="26">
        <f t="shared" si="43"/>
        <v>172977.9</v>
      </c>
      <c r="S42" s="25">
        <f>SUM(S44:S45)</f>
        <v>5189.3999999999996</v>
      </c>
      <c r="T42" s="25">
        <f>SUM(T44:T45)</f>
        <v>167788.5</v>
      </c>
      <c r="U42" s="25">
        <f>SUM(U44:U45)</f>
        <v>0</v>
      </c>
      <c r="V42" s="27">
        <f t="shared" ref="V42:V109" si="45">J42/F42</f>
        <v>0.997</v>
      </c>
    </row>
    <row r="43" spans="1:101" ht="18.75">
      <c r="A43" s="36"/>
      <c r="B43" s="37" t="s">
        <v>15</v>
      </c>
      <c r="C43" s="30"/>
      <c r="D43" s="30"/>
      <c r="E43" s="30"/>
      <c r="F43" s="26"/>
      <c r="G43" s="25"/>
      <c r="H43" s="25"/>
      <c r="I43" s="25"/>
      <c r="J43" s="26"/>
      <c r="K43" s="25"/>
      <c r="L43" s="25"/>
      <c r="M43" s="25"/>
      <c r="N43" s="26"/>
      <c r="O43" s="25"/>
      <c r="P43" s="25"/>
      <c r="Q43" s="25"/>
      <c r="R43" s="26"/>
      <c r="S43" s="25"/>
      <c r="T43" s="25"/>
      <c r="U43" s="25"/>
      <c r="V43" s="27"/>
    </row>
    <row r="44" spans="1:101" s="51" customFormat="1" ht="47.25" customHeight="1">
      <c r="A44" s="46"/>
      <c r="B44" s="47" t="s">
        <v>39</v>
      </c>
      <c r="C44" s="48">
        <v>811</v>
      </c>
      <c r="D44" s="49" t="s">
        <v>17</v>
      </c>
      <c r="E44" s="48" t="s">
        <v>119</v>
      </c>
      <c r="F44" s="63">
        <f t="shared" si="44"/>
        <v>123078.6</v>
      </c>
      <c r="G44" s="99"/>
      <c r="H44" s="99">
        <v>123078.6</v>
      </c>
      <c r="I44" s="99"/>
      <c r="J44" s="63">
        <f t="shared" ref="J44:J45" si="46">K44+L44+M44</f>
        <v>122794.6</v>
      </c>
      <c r="K44" s="99"/>
      <c r="L44" s="99">
        <v>122794.6</v>
      </c>
      <c r="M44" s="99"/>
      <c r="N44" s="26">
        <f t="shared" ref="N44:N45" si="47">O44+P44+Q44</f>
        <v>66844.800000000003</v>
      </c>
      <c r="O44" s="99"/>
      <c r="P44" s="99">
        <v>66844.800000000003</v>
      </c>
      <c r="Q44" s="99"/>
      <c r="R44" s="26">
        <f t="shared" ref="R44:R45" si="48">S44+T44+U44</f>
        <v>119403</v>
      </c>
      <c r="S44" s="99">
        <v>3582.1</v>
      </c>
      <c r="T44" s="99">
        <v>115820.9</v>
      </c>
      <c r="U44" s="99"/>
      <c r="V44" s="50">
        <f t="shared" si="45"/>
        <v>0.998</v>
      </c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</row>
    <row r="45" spans="1:101" s="51" customFormat="1" ht="75.75" customHeight="1">
      <c r="A45" s="46"/>
      <c r="B45" s="47" t="s">
        <v>121</v>
      </c>
      <c r="C45" s="48">
        <v>811</v>
      </c>
      <c r="D45" s="49" t="s">
        <v>17</v>
      </c>
      <c r="E45" s="48" t="s">
        <v>120</v>
      </c>
      <c r="F45" s="63">
        <f t="shared" si="44"/>
        <v>54304.5</v>
      </c>
      <c r="G45" s="99">
        <f>1607.3+21.9</f>
        <v>1629.2</v>
      </c>
      <c r="H45" s="99">
        <f>51967.6+707.7</f>
        <v>52675.3</v>
      </c>
      <c r="I45" s="99"/>
      <c r="J45" s="63">
        <f t="shared" si="46"/>
        <v>54011.8</v>
      </c>
      <c r="K45" s="99">
        <v>1620.4</v>
      </c>
      <c r="L45" s="99">
        <v>52391.4</v>
      </c>
      <c r="M45" s="99"/>
      <c r="N45" s="26">
        <f t="shared" si="47"/>
        <v>53574.9</v>
      </c>
      <c r="O45" s="99">
        <v>1607.3</v>
      </c>
      <c r="P45" s="99">
        <v>51967.6</v>
      </c>
      <c r="Q45" s="99"/>
      <c r="R45" s="26">
        <f t="shared" si="48"/>
        <v>53574.9</v>
      </c>
      <c r="S45" s="99">
        <v>1607.3</v>
      </c>
      <c r="T45" s="99">
        <v>51967.6</v>
      </c>
      <c r="U45" s="99"/>
      <c r="V45" s="50">
        <f t="shared" si="45"/>
        <v>0.995</v>
      </c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</row>
    <row r="46" spans="1:101" s="6" customFormat="1" ht="39.75" customHeight="1">
      <c r="A46" s="22" t="s">
        <v>40</v>
      </c>
      <c r="B46" s="44" t="s">
        <v>43</v>
      </c>
      <c r="C46" s="24" t="s">
        <v>12</v>
      </c>
      <c r="D46" s="24" t="s">
        <v>12</v>
      </c>
      <c r="E46" s="24" t="s">
        <v>12</v>
      </c>
      <c r="F46" s="26">
        <f>G46+H46+I46</f>
        <v>1900413.9</v>
      </c>
      <c r="G46" s="25">
        <f>SUM(G48:G53)</f>
        <v>458449.7</v>
      </c>
      <c r="H46" s="25">
        <f t="shared" ref="H46:I46" si="49">SUM(H48:H53)</f>
        <v>1441964.2</v>
      </c>
      <c r="I46" s="25">
        <f t="shared" si="49"/>
        <v>0</v>
      </c>
      <c r="J46" s="26">
        <f t="shared" ref="J46" si="50">K46+L46+M46</f>
        <v>1504050.2</v>
      </c>
      <c r="K46" s="25">
        <f>SUM(K48:K53)</f>
        <v>361566.6</v>
      </c>
      <c r="L46" s="25">
        <f t="shared" ref="L46:M46" si="51">SUM(L48:L53)</f>
        <v>1142483.6000000001</v>
      </c>
      <c r="M46" s="25">
        <f t="shared" si="51"/>
        <v>0</v>
      </c>
      <c r="N46" s="26">
        <f t="shared" ref="N46" si="52">O46+P46+Q46</f>
        <v>54940.6</v>
      </c>
      <c r="O46" s="25">
        <f>SUM(O48:O53)</f>
        <v>0</v>
      </c>
      <c r="P46" s="25">
        <f t="shared" ref="P46:Q46" si="53">SUM(P48:P53)</f>
        <v>54940.6</v>
      </c>
      <c r="Q46" s="25">
        <f t="shared" si="53"/>
        <v>0</v>
      </c>
      <c r="R46" s="26">
        <f t="shared" ref="R46" si="54">S46+T46+U46</f>
        <v>64076.800000000003</v>
      </c>
      <c r="S46" s="25">
        <f>SUM(S48:S53)</f>
        <v>1922.3</v>
      </c>
      <c r="T46" s="25">
        <f t="shared" ref="T46:U46" si="55">SUM(T48:T53)</f>
        <v>62154.5</v>
      </c>
      <c r="U46" s="25">
        <f t="shared" si="55"/>
        <v>0</v>
      </c>
      <c r="V46" s="27">
        <f>J46/F46</f>
        <v>0.79100000000000004</v>
      </c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</row>
    <row r="47" spans="1:101" ht="18.75">
      <c r="A47" s="36"/>
      <c r="B47" s="37" t="s">
        <v>15</v>
      </c>
      <c r="C47" s="30"/>
      <c r="D47" s="30"/>
      <c r="E47" s="30"/>
      <c r="F47" s="26"/>
      <c r="G47" s="25"/>
      <c r="H47" s="25"/>
      <c r="I47" s="25"/>
      <c r="J47" s="26"/>
      <c r="K47" s="25"/>
      <c r="L47" s="25"/>
      <c r="M47" s="25"/>
      <c r="N47" s="26"/>
      <c r="O47" s="25"/>
      <c r="P47" s="25"/>
      <c r="Q47" s="25"/>
      <c r="R47" s="26"/>
      <c r="S47" s="25"/>
      <c r="T47" s="25"/>
      <c r="U47" s="25"/>
      <c r="V47" s="27"/>
    </row>
    <row r="48" spans="1:101" ht="57" customHeight="1">
      <c r="A48" s="36"/>
      <c r="B48" s="38" t="s">
        <v>122</v>
      </c>
      <c r="C48" s="32" t="s">
        <v>257</v>
      </c>
      <c r="D48" s="33" t="s">
        <v>17</v>
      </c>
      <c r="E48" s="32" t="s">
        <v>123</v>
      </c>
      <c r="F48" s="26">
        <f t="shared" si="44"/>
        <v>211277.1</v>
      </c>
      <c r="G48" s="75">
        <v>0</v>
      </c>
      <c r="H48" s="75">
        <v>211277.1</v>
      </c>
      <c r="I48" s="75"/>
      <c r="J48" s="26">
        <f t="shared" ref="J48:J54" si="56">K48+L48+M48</f>
        <v>210400.3</v>
      </c>
      <c r="K48" s="75"/>
      <c r="L48" s="75">
        <v>210400.3</v>
      </c>
      <c r="M48" s="75"/>
      <c r="N48" s="26">
        <f t="shared" ref="N48:N54" si="57">O48+P48+Q48</f>
        <v>54940.6</v>
      </c>
      <c r="O48" s="75">
        <v>0</v>
      </c>
      <c r="P48" s="75">
        <v>54940.6</v>
      </c>
      <c r="Q48" s="75"/>
      <c r="R48" s="26">
        <f t="shared" ref="R48:R54" si="58">S48+T48+U48</f>
        <v>64076.800000000003</v>
      </c>
      <c r="S48" s="75">
        <v>1922.3</v>
      </c>
      <c r="T48" s="75">
        <v>62154.5</v>
      </c>
      <c r="U48" s="75"/>
      <c r="V48" s="31">
        <f t="shared" si="45"/>
        <v>0.996</v>
      </c>
    </row>
    <row r="49" spans="1:101" ht="48" customHeight="1">
      <c r="A49" s="36"/>
      <c r="B49" s="38" t="s">
        <v>344</v>
      </c>
      <c r="C49" s="32">
        <v>821</v>
      </c>
      <c r="D49" s="33" t="s">
        <v>19</v>
      </c>
      <c r="E49" s="32" t="s">
        <v>343</v>
      </c>
      <c r="F49" s="26">
        <f t="shared" ref="F49:F51" si="59">G49+H49+I49</f>
        <v>1551358.9</v>
      </c>
      <c r="G49" s="75">
        <f>320671.8</f>
        <v>320671.8</v>
      </c>
      <c r="H49" s="75">
        <v>1230687.1000000001</v>
      </c>
      <c r="I49" s="75"/>
      <c r="J49" s="26">
        <f t="shared" ref="J49:J51" si="60">K49+L49+M49</f>
        <v>1174950</v>
      </c>
      <c r="K49" s="75">
        <v>242866.7</v>
      </c>
      <c r="L49" s="75">
        <v>932083.3</v>
      </c>
      <c r="M49" s="75"/>
      <c r="N49" s="26">
        <f t="shared" ref="N49:N51" si="61">O49+P49+Q49</f>
        <v>0</v>
      </c>
      <c r="O49" s="75"/>
      <c r="P49" s="75"/>
      <c r="Q49" s="75"/>
      <c r="R49" s="26">
        <f t="shared" ref="R49:R51" si="62">S49+T49+U49</f>
        <v>0</v>
      </c>
      <c r="S49" s="75"/>
      <c r="T49" s="75"/>
      <c r="U49" s="75"/>
      <c r="V49" s="31">
        <f t="shared" ref="V49:V51" si="63">J49/F49</f>
        <v>0.75700000000000001</v>
      </c>
    </row>
    <row r="50" spans="1:101" ht="48" customHeight="1">
      <c r="A50" s="36"/>
      <c r="B50" s="38" t="s">
        <v>344</v>
      </c>
      <c r="C50" s="32" t="s">
        <v>257</v>
      </c>
      <c r="D50" s="33" t="s">
        <v>17</v>
      </c>
      <c r="E50" s="32" t="s">
        <v>343</v>
      </c>
      <c r="F50" s="26">
        <f t="shared" si="59"/>
        <v>0</v>
      </c>
      <c r="G50" s="75"/>
      <c r="H50" s="75"/>
      <c r="I50" s="75"/>
      <c r="J50" s="26">
        <f t="shared" si="60"/>
        <v>0</v>
      </c>
      <c r="K50" s="75"/>
      <c r="L50" s="75"/>
      <c r="M50" s="75"/>
      <c r="N50" s="26">
        <f t="shared" si="61"/>
        <v>0</v>
      </c>
      <c r="O50" s="75"/>
      <c r="P50" s="75"/>
      <c r="Q50" s="75"/>
      <c r="R50" s="26">
        <f t="shared" si="62"/>
        <v>0</v>
      </c>
      <c r="S50" s="75"/>
      <c r="T50" s="75"/>
      <c r="U50" s="75"/>
      <c r="V50" s="31" t="e">
        <f t="shared" si="63"/>
        <v>#DIV/0!</v>
      </c>
    </row>
    <row r="51" spans="1:101" ht="48" customHeight="1">
      <c r="A51" s="36"/>
      <c r="B51" s="38" t="s">
        <v>348</v>
      </c>
      <c r="C51" s="32" t="s">
        <v>257</v>
      </c>
      <c r="D51" s="33" t="s">
        <v>17</v>
      </c>
      <c r="E51" s="86" t="s">
        <v>349</v>
      </c>
      <c r="F51" s="26">
        <f t="shared" si="59"/>
        <v>110807.8</v>
      </c>
      <c r="G51" s="75">
        <v>110807.76</v>
      </c>
      <c r="H51" s="75"/>
      <c r="I51" s="75"/>
      <c r="J51" s="26">
        <f t="shared" si="60"/>
        <v>97013.1</v>
      </c>
      <c r="K51" s="75">
        <v>97013.1</v>
      </c>
      <c r="L51" s="75"/>
      <c r="M51" s="75"/>
      <c r="N51" s="26">
        <f t="shared" si="61"/>
        <v>0</v>
      </c>
      <c r="O51" s="75"/>
      <c r="P51" s="75"/>
      <c r="Q51" s="75"/>
      <c r="R51" s="26">
        <f t="shared" si="62"/>
        <v>0</v>
      </c>
      <c r="S51" s="75"/>
      <c r="T51" s="75"/>
      <c r="U51" s="75"/>
      <c r="V51" s="31">
        <f t="shared" si="63"/>
        <v>0.876</v>
      </c>
    </row>
    <row r="52" spans="1:101" ht="69" customHeight="1">
      <c r="A52" s="36"/>
      <c r="B52" s="38" t="s">
        <v>348</v>
      </c>
      <c r="C52" s="32">
        <v>821</v>
      </c>
      <c r="D52" s="33" t="s">
        <v>19</v>
      </c>
      <c r="E52" s="86" t="s">
        <v>349</v>
      </c>
      <c r="F52" s="26">
        <f t="shared" ref="F52:F53" si="64">G52+H52+I52</f>
        <v>10970.1</v>
      </c>
      <c r="G52" s="75">
        <v>10970.1</v>
      </c>
      <c r="H52" s="75"/>
      <c r="I52" s="75"/>
      <c r="J52" s="26">
        <f t="shared" ref="J52:J53" si="65">K52+L52+M52</f>
        <v>10087.299999999999</v>
      </c>
      <c r="K52" s="75">
        <v>10087.299999999999</v>
      </c>
      <c r="L52" s="75"/>
      <c r="M52" s="75"/>
      <c r="N52" s="26">
        <f t="shared" ref="N52:N53" si="66">O52+P52+Q52</f>
        <v>0</v>
      </c>
      <c r="O52" s="75"/>
      <c r="P52" s="75"/>
      <c r="Q52" s="75"/>
      <c r="R52" s="26">
        <f t="shared" ref="R52:R53" si="67">S52+T52+U52</f>
        <v>0</v>
      </c>
      <c r="S52" s="75"/>
      <c r="T52" s="75"/>
      <c r="U52" s="75"/>
      <c r="V52" s="31">
        <f t="shared" ref="V52:V53" si="68">J52/F52</f>
        <v>0.92</v>
      </c>
    </row>
    <row r="53" spans="1:101" ht="69" customHeight="1">
      <c r="A53" s="36"/>
      <c r="B53" s="38" t="s">
        <v>390</v>
      </c>
      <c r="C53" s="32">
        <v>811</v>
      </c>
      <c r="D53" s="33" t="s">
        <v>17</v>
      </c>
      <c r="E53" s="86" t="s">
        <v>389</v>
      </c>
      <c r="F53" s="26">
        <f t="shared" si="64"/>
        <v>16000</v>
      </c>
      <c r="G53" s="75">
        <v>16000</v>
      </c>
      <c r="H53" s="75"/>
      <c r="I53" s="75"/>
      <c r="J53" s="26">
        <f t="shared" si="65"/>
        <v>11599.5</v>
      </c>
      <c r="K53" s="75">
        <v>11599.51</v>
      </c>
      <c r="L53" s="75"/>
      <c r="M53" s="75"/>
      <c r="N53" s="26">
        <f t="shared" si="66"/>
        <v>0</v>
      </c>
      <c r="O53" s="75"/>
      <c r="P53" s="75"/>
      <c r="Q53" s="75"/>
      <c r="R53" s="26">
        <f t="shared" si="67"/>
        <v>0</v>
      </c>
      <c r="S53" s="75"/>
      <c r="T53" s="75"/>
      <c r="U53" s="75"/>
      <c r="V53" s="31">
        <f t="shared" si="68"/>
        <v>0.72499999999999998</v>
      </c>
    </row>
    <row r="54" spans="1:101" s="6" customFormat="1" ht="72.75" customHeight="1">
      <c r="A54" s="52" t="s">
        <v>41</v>
      </c>
      <c r="B54" s="45" t="s">
        <v>260</v>
      </c>
      <c r="C54" s="24" t="s">
        <v>12</v>
      </c>
      <c r="D54" s="24" t="s">
        <v>12</v>
      </c>
      <c r="E54" s="24" t="s">
        <v>12</v>
      </c>
      <c r="F54" s="26">
        <f>G54+H54+I54</f>
        <v>77368.899999999994</v>
      </c>
      <c r="G54" s="25">
        <f>SUM(G56)</f>
        <v>17669.400000000001</v>
      </c>
      <c r="H54" s="25">
        <f t="shared" ref="H54:I54" si="69">SUM(H56)</f>
        <v>59699.5</v>
      </c>
      <c r="I54" s="25">
        <f t="shared" si="69"/>
        <v>0</v>
      </c>
      <c r="J54" s="26">
        <f t="shared" si="56"/>
        <v>21468.6</v>
      </c>
      <c r="K54" s="25">
        <f>K56</f>
        <v>4903</v>
      </c>
      <c r="L54" s="25">
        <f>L56</f>
        <v>16565.599999999999</v>
      </c>
      <c r="M54" s="25">
        <f t="shared" ref="M54" si="70">SUM(M56:M68)</f>
        <v>0</v>
      </c>
      <c r="N54" s="26">
        <f t="shared" si="57"/>
        <v>58091.1</v>
      </c>
      <c r="O54" s="25">
        <f>SUM(O56)</f>
        <v>16223.8</v>
      </c>
      <c r="P54" s="25">
        <f>SUM(P56)</f>
        <v>41867.300000000003</v>
      </c>
      <c r="Q54" s="25">
        <f t="shared" ref="Q54" si="71">SUM(Q56:Q68)</f>
        <v>0</v>
      </c>
      <c r="R54" s="26">
        <f t="shared" si="58"/>
        <v>47524.2</v>
      </c>
      <c r="S54" s="25">
        <f>SUM(S56)</f>
        <v>1425.7</v>
      </c>
      <c r="T54" s="25">
        <f>SUM(T56)</f>
        <v>46098.5</v>
      </c>
      <c r="U54" s="25">
        <f t="shared" ref="U54" si="72">SUM(U56:U68)</f>
        <v>0</v>
      </c>
      <c r="V54" s="27">
        <f t="shared" si="45"/>
        <v>0.27700000000000002</v>
      </c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</row>
    <row r="55" spans="1:101" ht="22.5" customHeight="1">
      <c r="A55" s="12"/>
      <c r="B55" s="37" t="s">
        <v>15</v>
      </c>
      <c r="C55" s="30"/>
      <c r="D55" s="30"/>
      <c r="E55" s="30"/>
      <c r="F55" s="26"/>
      <c r="G55" s="25"/>
      <c r="H55" s="25"/>
      <c r="I55" s="25"/>
      <c r="J55" s="26"/>
      <c r="K55" s="25"/>
      <c r="L55" s="25"/>
      <c r="M55" s="25"/>
      <c r="N55" s="26"/>
      <c r="O55" s="25"/>
      <c r="P55" s="25"/>
      <c r="Q55" s="25"/>
      <c r="R55" s="26"/>
      <c r="S55" s="25"/>
      <c r="T55" s="25"/>
      <c r="U55" s="25"/>
      <c r="V55" s="27"/>
    </row>
    <row r="56" spans="1:101" ht="72.75" customHeight="1">
      <c r="A56" s="9"/>
      <c r="B56" s="38" t="s">
        <v>42</v>
      </c>
      <c r="C56" s="32" t="s">
        <v>257</v>
      </c>
      <c r="D56" s="33" t="s">
        <v>17</v>
      </c>
      <c r="E56" s="32" t="s">
        <v>124</v>
      </c>
      <c r="F56" s="26">
        <f t="shared" si="44"/>
        <v>77368.899999999994</v>
      </c>
      <c r="G56" s="75">
        <v>17669.400000000001</v>
      </c>
      <c r="H56" s="75">
        <v>59699.5</v>
      </c>
      <c r="I56" s="75"/>
      <c r="J56" s="26">
        <f t="shared" ref="J56:J70" si="73">K56+L56+M56</f>
        <v>21468.6</v>
      </c>
      <c r="K56" s="75">
        <v>4903</v>
      </c>
      <c r="L56" s="75">
        <v>16565.599999999999</v>
      </c>
      <c r="M56" s="75"/>
      <c r="N56" s="26">
        <f t="shared" ref="N56:N69" si="74">O56+P56+Q56</f>
        <v>58091.1</v>
      </c>
      <c r="O56" s="75">
        <v>16223.8</v>
      </c>
      <c r="P56" s="75">
        <v>41867.300000000003</v>
      </c>
      <c r="Q56" s="75"/>
      <c r="R56" s="26">
        <f t="shared" ref="R56:R69" si="75">S56+T56+U56</f>
        <v>47524.2</v>
      </c>
      <c r="S56" s="75">
        <v>1425.7</v>
      </c>
      <c r="T56" s="75">
        <v>46098.5</v>
      </c>
      <c r="U56" s="75"/>
      <c r="V56" s="31">
        <f t="shared" si="45"/>
        <v>0.27700000000000002</v>
      </c>
    </row>
    <row r="57" spans="1:101" ht="46.5" customHeight="1">
      <c r="A57" s="9" t="s">
        <v>261</v>
      </c>
      <c r="B57" s="45" t="s">
        <v>262</v>
      </c>
      <c r="C57" s="32" t="s">
        <v>12</v>
      </c>
      <c r="D57" s="33" t="s">
        <v>12</v>
      </c>
      <c r="E57" s="32" t="s">
        <v>12</v>
      </c>
      <c r="F57" s="26">
        <f>G57+H57+I57</f>
        <v>1247487</v>
      </c>
      <c r="G57" s="25">
        <f>SUM(G59:G68)</f>
        <v>52735.4</v>
      </c>
      <c r="H57" s="25">
        <f t="shared" ref="H57:I57" si="76">SUM(H59:H68)</f>
        <v>1194751.6000000001</v>
      </c>
      <c r="I57" s="25">
        <f t="shared" si="76"/>
        <v>0</v>
      </c>
      <c r="J57" s="26">
        <f>K57+L57+M57</f>
        <v>695426.6</v>
      </c>
      <c r="K57" s="25">
        <f>SUM(K59:K68)</f>
        <v>29398</v>
      </c>
      <c r="L57" s="25">
        <f t="shared" ref="L57:M57" si="77">SUM(L59:L68)</f>
        <v>666028.6</v>
      </c>
      <c r="M57" s="25">
        <f t="shared" si="77"/>
        <v>0</v>
      </c>
      <c r="N57" s="26">
        <f>O57+P57+Q57</f>
        <v>806717.3</v>
      </c>
      <c r="O57" s="25">
        <f>SUM(O59:O68)</f>
        <v>34102.6</v>
      </c>
      <c r="P57" s="25">
        <f t="shared" ref="P57:Q57" si="78">SUM(P59:P68)</f>
        <v>772614.7</v>
      </c>
      <c r="Q57" s="25">
        <f t="shared" si="78"/>
        <v>0</v>
      </c>
      <c r="R57" s="26">
        <f>S57+T57+U57</f>
        <v>806717.3</v>
      </c>
      <c r="S57" s="25">
        <f>SUM(S59:S68)</f>
        <v>34102.6</v>
      </c>
      <c r="T57" s="25">
        <f t="shared" ref="T57:U57" si="79">SUM(T59:T68)</f>
        <v>772614.7</v>
      </c>
      <c r="U57" s="25">
        <f t="shared" si="79"/>
        <v>0</v>
      </c>
      <c r="V57" s="31">
        <f t="shared" si="45"/>
        <v>0.55700000000000005</v>
      </c>
    </row>
    <row r="58" spans="1:101" ht="22.5" customHeight="1">
      <c r="A58" s="9"/>
      <c r="B58" s="37" t="s">
        <v>15</v>
      </c>
      <c r="C58" s="32"/>
      <c r="D58" s="33"/>
      <c r="E58" s="32"/>
      <c r="F58" s="26"/>
      <c r="G58" s="75"/>
      <c r="H58" s="75"/>
      <c r="I58" s="75"/>
      <c r="J58" s="26"/>
      <c r="K58" s="75"/>
      <c r="L58" s="75"/>
      <c r="M58" s="75"/>
      <c r="N58" s="26"/>
      <c r="O58" s="75"/>
      <c r="P58" s="75"/>
      <c r="Q58" s="75"/>
      <c r="R58" s="26"/>
      <c r="S58" s="75"/>
      <c r="T58" s="75"/>
      <c r="U58" s="75"/>
      <c r="V58" s="31"/>
    </row>
    <row r="59" spans="1:101" ht="60" customHeight="1">
      <c r="A59" s="22"/>
      <c r="B59" s="38" t="s">
        <v>268</v>
      </c>
      <c r="C59" s="32" t="s">
        <v>258</v>
      </c>
      <c r="D59" s="33" t="s">
        <v>19</v>
      </c>
      <c r="E59" s="33" t="s">
        <v>263</v>
      </c>
      <c r="F59" s="26">
        <f>G59+H59+I59</f>
        <v>243378.5</v>
      </c>
      <c r="G59" s="75">
        <f>8169.9+5779.4-3263.2-397.7</f>
        <v>10288.4</v>
      </c>
      <c r="H59" s="75">
        <f>185092.6-73927.1+130935.7-9011.1</f>
        <v>233090.1</v>
      </c>
      <c r="I59" s="75"/>
      <c r="J59" s="26">
        <f t="shared" si="73"/>
        <v>91696.8</v>
      </c>
      <c r="K59" s="75">
        <v>3876.3</v>
      </c>
      <c r="L59" s="75">
        <v>87820.5</v>
      </c>
      <c r="M59" s="75"/>
      <c r="N59" s="26">
        <f t="shared" si="74"/>
        <v>146767</v>
      </c>
      <c r="O59" s="75">
        <f>4286.6+432.5+1485.2</f>
        <v>6204.3</v>
      </c>
      <c r="P59" s="75">
        <f>97115.4+9799.1+33648.2</f>
        <v>140562.70000000001</v>
      </c>
      <c r="Q59" s="75"/>
      <c r="R59" s="26">
        <f t="shared" si="75"/>
        <v>142053.9</v>
      </c>
      <c r="S59" s="75">
        <f>7490.3-1485.2</f>
        <v>6005.1</v>
      </c>
      <c r="T59" s="75">
        <f>169697-33648.2</f>
        <v>136048.79999999999</v>
      </c>
      <c r="U59" s="75"/>
      <c r="V59" s="31">
        <f t="shared" si="45"/>
        <v>0.377</v>
      </c>
    </row>
    <row r="60" spans="1:101" ht="56.25" customHeight="1">
      <c r="A60" s="22"/>
      <c r="B60" s="38" t="s">
        <v>268</v>
      </c>
      <c r="C60" s="32" t="s">
        <v>273</v>
      </c>
      <c r="D60" s="33" t="s">
        <v>146</v>
      </c>
      <c r="E60" s="32" t="s">
        <v>263</v>
      </c>
      <c r="F60" s="26">
        <f t="shared" ref="F60:F63" si="80">G60+H60+I60</f>
        <v>0</v>
      </c>
      <c r="G60" s="75">
        <v>0</v>
      </c>
      <c r="H60" s="75">
        <v>0</v>
      </c>
      <c r="I60" s="75"/>
      <c r="J60" s="26">
        <f t="shared" si="73"/>
        <v>0</v>
      </c>
      <c r="K60" s="75"/>
      <c r="L60" s="75"/>
      <c r="M60" s="75"/>
      <c r="N60" s="26">
        <f t="shared" si="74"/>
        <v>39933.4</v>
      </c>
      <c r="O60" s="75">
        <f>6061.8-4373.7</f>
        <v>1688.1</v>
      </c>
      <c r="P60" s="75">
        <f>137335-99089.7</f>
        <v>38245.300000000003</v>
      </c>
      <c r="Q60" s="75"/>
      <c r="R60" s="26">
        <f t="shared" si="75"/>
        <v>103463.4</v>
      </c>
      <c r="S60" s="75">
        <v>4373.7</v>
      </c>
      <c r="T60" s="75">
        <v>99089.7</v>
      </c>
      <c r="U60" s="75"/>
      <c r="V60" s="31" t="e">
        <f t="shared" si="45"/>
        <v>#DIV/0!</v>
      </c>
    </row>
    <row r="61" spans="1:101" ht="69" customHeight="1">
      <c r="A61" s="22"/>
      <c r="B61" s="38" t="s">
        <v>269</v>
      </c>
      <c r="C61" s="32" t="s">
        <v>257</v>
      </c>
      <c r="D61" s="33" t="s">
        <v>17</v>
      </c>
      <c r="E61" s="32" t="s">
        <v>264</v>
      </c>
      <c r="F61" s="26">
        <f t="shared" si="80"/>
        <v>57569.1</v>
      </c>
      <c r="G61" s="75">
        <v>2433.6</v>
      </c>
      <c r="H61" s="75">
        <v>55135.5</v>
      </c>
      <c r="I61" s="75"/>
      <c r="J61" s="26">
        <f t="shared" si="73"/>
        <v>56416.7</v>
      </c>
      <c r="K61" s="75">
        <v>2384.9</v>
      </c>
      <c r="L61" s="75">
        <v>54031.8</v>
      </c>
      <c r="M61" s="75"/>
      <c r="N61" s="26">
        <f t="shared" si="74"/>
        <v>26908.1</v>
      </c>
      <c r="O61" s="75">
        <v>1137.5</v>
      </c>
      <c r="P61" s="75">
        <v>25770.6</v>
      </c>
      <c r="Q61" s="75"/>
      <c r="R61" s="26">
        <f t="shared" si="75"/>
        <v>28509.1</v>
      </c>
      <c r="S61" s="75">
        <v>1205.2</v>
      </c>
      <c r="T61" s="75">
        <v>27303.9</v>
      </c>
      <c r="U61" s="75"/>
      <c r="V61" s="31">
        <f t="shared" si="45"/>
        <v>0.98</v>
      </c>
    </row>
    <row r="62" spans="1:101" ht="125.25" customHeight="1">
      <c r="A62" s="22"/>
      <c r="B62" s="38" t="s">
        <v>270</v>
      </c>
      <c r="C62" s="32" t="s">
        <v>257</v>
      </c>
      <c r="D62" s="33" t="s">
        <v>17</v>
      </c>
      <c r="E62" s="32" t="s">
        <v>265</v>
      </c>
      <c r="F62" s="26">
        <f t="shared" si="80"/>
        <v>167057</v>
      </c>
      <c r="G62" s="75">
        <v>7062.1</v>
      </c>
      <c r="H62" s="75">
        <v>159994.9</v>
      </c>
      <c r="I62" s="75"/>
      <c r="J62" s="26">
        <f t="shared" si="73"/>
        <v>165940.5</v>
      </c>
      <c r="K62" s="75">
        <v>7014.9</v>
      </c>
      <c r="L62" s="75">
        <v>158925.6</v>
      </c>
      <c r="M62" s="75"/>
      <c r="N62" s="26">
        <f t="shared" si="74"/>
        <v>153197.6</v>
      </c>
      <c r="O62" s="75">
        <f>6476.1+0.1</f>
        <v>6476.2</v>
      </c>
      <c r="P62" s="75">
        <v>146721.4</v>
      </c>
      <c r="Q62" s="75"/>
      <c r="R62" s="26">
        <f t="shared" si="75"/>
        <v>0</v>
      </c>
      <c r="S62" s="75">
        <v>0</v>
      </c>
      <c r="T62" s="75">
        <v>0</v>
      </c>
      <c r="U62" s="75"/>
      <c r="V62" s="31">
        <f t="shared" si="45"/>
        <v>0.99299999999999999</v>
      </c>
    </row>
    <row r="63" spans="1:101" ht="138.75" customHeight="1">
      <c r="A63" s="22"/>
      <c r="B63" s="38" t="s">
        <v>271</v>
      </c>
      <c r="C63" s="32" t="s">
        <v>257</v>
      </c>
      <c r="D63" s="33" t="s">
        <v>17</v>
      </c>
      <c r="E63" s="32" t="s">
        <v>266</v>
      </c>
      <c r="F63" s="26">
        <f t="shared" si="80"/>
        <v>159025.29999999999</v>
      </c>
      <c r="G63" s="75">
        <v>6722.5</v>
      </c>
      <c r="H63" s="75">
        <v>152302.79999999999</v>
      </c>
      <c r="I63" s="75"/>
      <c r="J63" s="26">
        <f t="shared" si="73"/>
        <v>154619</v>
      </c>
      <c r="K63" s="75">
        <v>6536.3</v>
      </c>
      <c r="L63" s="75">
        <v>148082.70000000001</v>
      </c>
      <c r="M63" s="75"/>
      <c r="N63" s="26">
        <f t="shared" si="74"/>
        <v>0</v>
      </c>
      <c r="O63" s="75">
        <v>0</v>
      </c>
      <c r="P63" s="75">
        <v>0</v>
      </c>
      <c r="Q63" s="75"/>
      <c r="R63" s="26">
        <f t="shared" si="75"/>
        <v>0</v>
      </c>
      <c r="S63" s="75">
        <v>0</v>
      </c>
      <c r="T63" s="75">
        <v>0</v>
      </c>
      <c r="U63" s="75"/>
      <c r="V63" s="31">
        <f t="shared" si="45"/>
        <v>0.97199999999999998</v>
      </c>
    </row>
    <row r="64" spans="1:101" ht="77.25" customHeight="1">
      <c r="A64" s="22"/>
      <c r="B64" s="38" t="s">
        <v>346</v>
      </c>
      <c r="C64" s="32">
        <v>811</v>
      </c>
      <c r="D64" s="33" t="s">
        <v>17</v>
      </c>
      <c r="E64" s="32" t="s">
        <v>345</v>
      </c>
      <c r="F64" s="26">
        <f t="shared" ref="F64:F66" si="81">G64+H64+I64</f>
        <v>50000</v>
      </c>
      <c r="G64" s="75">
        <v>2113.6999999999998</v>
      </c>
      <c r="H64" s="75">
        <v>47886.34</v>
      </c>
      <c r="I64" s="75"/>
      <c r="J64" s="26">
        <f t="shared" ref="J64:J66" si="82">K64+L64+M64</f>
        <v>31700</v>
      </c>
      <c r="K64" s="75">
        <v>1340.1</v>
      </c>
      <c r="L64" s="75">
        <v>30359.9</v>
      </c>
      <c r="M64" s="75"/>
      <c r="N64" s="26">
        <f t="shared" ref="N64:N66" si="83">O64+P64+Q64</f>
        <v>0</v>
      </c>
      <c r="O64" s="75">
        <v>0</v>
      </c>
      <c r="P64" s="75">
        <v>0</v>
      </c>
      <c r="Q64" s="75"/>
      <c r="R64" s="26">
        <f t="shared" ref="R64:R66" si="84">S64+T64+U64</f>
        <v>0</v>
      </c>
      <c r="S64" s="75">
        <v>0</v>
      </c>
      <c r="T64" s="75">
        <v>0</v>
      </c>
      <c r="U64" s="75"/>
      <c r="V64" s="31">
        <f t="shared" ref="V64:V66" si="85">J64/F64</f>
        <v>0.63400000000000001</v>
      </c>
    </row>
    <row r="65" spans="1:22" ht="77.25" customHeight="1">
      <c r="A65" s="22"/>
      <c r="B65" s="38" t="s">
        <v>373</v>
      </c>
      <c r="C65" s="32">
        <v>811</v>
      </c>
      <c r="D65" s="33" t="s">
        <v>17</v>
      </c>
      <c r="E65" s="32" t="s">
        <v>372</v>
      </c>
      <c r="F65" s="26">
        <f t="shared" si="81"/>
        <v>59801</v>
      </c>
      <c r="G65" s="75">
        <v>2528</v>
      </c>
      <c r="H65" s="75">
        <v>57273</v>
      </c>
      <c r="I65" s="75"/>
      <c r="J65" s="26">
        <f t="shared" si="82"/>
        <v>57383.199999999997</v>
      </c>
      <c r="K65" s="75">
        <v>2425.8000000000002</v>
      </c>
      <c r="L65" s="75">
        <v>54957.4</v>
      </c>
      <c r="M65" s="75"/>
      <c r="N65" s="26">
        <f t="shared" si="83"/>
        <v>0</v>
      </c>
      <c r="O65" s="75"/>
      <c r="P65" s="75"/>
      <c r="Q65" s="75"/>
      <c r="R65" s="26">
        <f t="shared" si="84"/>
        <v>0</v>
      </c>
      <c r="S65" s="75"/>
      <c r="T65" s="75"/>
      <c r="U65" s="75"/>
      <c r="V65" s="31">
        <f t="shared" si="85"/>
        <v>0.96</v>
      </c>
    </row>
    <row r="66" spans="1:22" ht="77.25" customHeight="1">
      <c r="A66" s="22"/>
      <c r="B66" s="38" t="s">
        <v>369</v>
      </c>
      <c r="C66" s="32" t="s">
        <v>258</v>
      </c>
      <c r="D66" s="33" t="s">
        <v>19</v>
      </c>
      <c r="E66" s="32" t="s">
        <v>368</v>
      </c>
      <c r="F66" s="26">
        <f t="shared" si="81"/>
        <v>0</v>
      </c>
      <c r="G66" s="75"/>
      <c r="H66" s="75"/>
      <c r="I66" s="75"/>
      <c r="J66" s="26">
        <f t="shared" si="82"/>
        <v>0</v>
      </c>
      <c r="K66" s="75"/>
      <c r="L66" s="75"/>
      <c r="M66" s="75"/>
      <c r="N66" s="26">
        <f t="shared" si="83"/>
        <v>0</v>
      </c>
      <c r="O66" s="75"/>
      <c r="P66" s="75"/>
      <c r="Q66" s="75"/>
      <c r="R66" s="26">
        <f t="shared" si="84"/>
        <v>0</v>
      </c>
      <c r="S66" s="75"/>
      <c r="T66" s="75"/>
      <c r="U66" s="75"/>
      <c r="V66" s="31" t="e">
        <f t="shared" si="85"/>
        <v>#DIV/0!</v>
      </c>
    </row>
    <row r="67" spans="1:22" ht="49.5" customHeight="1">
      <c r="A67" s="22"/>
      <c r="B67" s="38" t="s">
        <v>272</v>
      </c>
      <c r="C67" s="32">
        <v>811</v>
      </c>
      <c r="D67" s="33" t="s">
        <v>17</v>
      </c>
      <c r="E67" s="32" t="s">
        <v>267</v>
      </c>
      <c r="F67" s="26">
        <f>G67+H67+I67</f>
        <v>44080.3</v>
      </c>
      <c r="G67" s="75">
        <v>1863.4</v>
      </c>
      <c r="H67" s="75">
        <f>42216.9</f>
        <v>42216.9</v>
      </c>
      <c r="I67" s="75"/>
      <c r="J67" s="26">
        <f t="shared" ref="J67" si="86">K67+L67+M67</f>
        <v>41589.699999999997</v>
      </c>
      <c r="K67" s="75">
        <v>1758.1</v>
      </c>
      <c r="L67" s="75">
        <v>39831.599999999999</v>
      </c>
      <c r="M67" s="75"/>
      <c r="N67" s="26">
        <f t="shared" ref="N67" si="87">O67+P67+Q67</f>
        <v>0</v>
      </c>
      <c r="O67" s="75"/>
      <c r="P67" s="75"/>
      <c r="Q67" s="75"/>
      <c r="R67" s="26">
        <f t="shared" ref="R67" si="88">S67+T67+U67</f>
        <v>0</v>
      </c>
      <c r="S67" s="75"/>
      <c r="T67" s="75"/>
      <c r="U67" s="75"/>
      <c r="V67" s="31">
        <f t="shared" ref="V67" si="89">J67/F67</f>
        <v>0.94299999999999995</v>
      </c>
    </row>
    <row r="68" spans="1:22" ht="69" customHeight="1">
      <c r="A68" s="22"/>
      <c r="B68" s="38" t="s">
        <v>272</v>
      </c>
      <c r="C68" s="32" t="s">
        <v>258</v>
      </c>
      <c r="D68" s="33" t="s">
        <v>19</v>
      </c>
      <c r="E68" s="32" t="s">
        <v>267</v>
      </c>
      <c r="F68" s="26">
        <f>G68+H68+I68</f>
        <v>466575.8</v>
      </c>
      <c r="G68" s="75">
        <f>13717.7+8461.98+432.5-2888.5</f>
        <v>19723.7</v>
      </c>
      <c r="H68" s="75">
        <f>310783.4-42216.92+9798.8+233928.2-65441.4</f>
        <v>446852.1</v>
      </c>
      <c r="I68" s="75"/>
      <c r="J68" s="26">
        <f t="shared" si="73"/>
        <v>96080.7</v>
      </c>
      <c r="K68" s="75">
        <v>4061.6</v>
      </c>
      <c r="L68" s="75">
        <v>92019.1</v>
      </c>
      <c r="M68" s="75"/>
      <c r="N68" s="26">
        <f t="shared" si="74"/>
        <v>439911.2</v>
      </c>
      <c r="O68" s="75">
        <f>16140.5-432.5+2888.5</f>
        <v>18596.5</v>
      </c>
      <c r="P68" s="75">
        <f>355873.2+65441.5</f>
        <v>421314.7</v>
      </c>
      <c r="Q68" s="75"/>
      <c r="R68" s="26">
        <f t="shared" si="75"/>
        <v>532690.9</v>
      </c>
      <c r="S68" s="75">
        <f>25407.1-2888.5</f>
        <v>22518.6</v>
      </c>
      <c r="T68" s="75">
        <f>575613.8-65441.5</f>
        <v>510172.3</v>
      </c>
      <c r="U68" s="75"/>
      <c r="V68" s="31">
        <f t="shared" si="45"/>
        <v>0.20599999999999999</v>
      </c>
    </row>
    <row r="69" spans="1:22" ht="24" customHeight="1">
      <c r="A69" s="17" t="s">
        <v>44</v>
      </c>
      <c r="B69" s="18" t="s">
        <v>45</v>
      </c>
      <c r="C69" s="41" t="s">
        <v>12</v>
      </c>
      <c r="D69" s="41" t="s">
        <v>12</v>
      </c>
      <c r="E69" s="41" t="s">
        <v>12</v>
      </c>
      <c r="F69" s="42">
        <f t="shared" si="44"/>
        <v>1324602.7</v>
      </c>
      <c r="G69" s="42">
        <f>G70+G86+G93+G101+G104</f>
        <v>266593.40000000002</v>
      </c>
      <c r="H69" s="141">
        <f>H70+H86+H93+H101+H104</f>
        <v>1033613.7</v>
      </c>
      <c r="I69" s="42">
        <f>I70+I86+I93+I101+I104</f>
        <v>24395.599999999999</v>
      </c>
      <c r="J69" s="42">
        <f t="shared" si="73"/>
        <v>954286.3</v>
      </c>
      <c r="K69" s="42">
        <f>K70+K86+K93+K101+K104</f>
        <v>221405.5</v>
      </c>
      <c r="L69" s="42">
        <f t="shared" ref="L69:M69" si="90">L70+L86+L93+L101+L104</f>
        <v>730987.4</v>
      </c>
      <c r="M69" s="42">
        <f t="shared" si="90"/>
        <v>1893.4</v>
      </c>
      <c r="N69" s="42">
        <f t="shared" si="74"/>
        <v>1119388.3</v>
      </c>
      <c r="O69" s="42">
        <f>O70+O86+O93+O101+O104</f>
        <v>544283.80000000005</v>
      </c>
      <c r="P69" s="42">
        <f t="shared" ref="P69:Q69" si="91">P70+P86+P93+P101+P104</f>
        <v>565253.19999999995</v>
      </c>
      <c r="Q69" s="42">
        <f t="shared" si="91"/>
        <v>9851.2999999999993</v>
      </c>
      <c r="R69" s="42">
        <f t="shared" si="75"/>
        <v>1053173.8</v>
      </c>
      <c r="S69" s="42">
        <f>S70+S86+S93+S101+S104</f>
        <v>41075.1</v>
      </c>
      <c r="T69" s="42">
        <f t="shared" ref="T69:U69" si="92">T70+T86+T93+T101+T104</f>
        <v>1012098.7</v>
      </c>
      <c r="U69" s="42">
        <f t="shared" si="92"/>
        <v>0</v>
      </c>
      <c r="V69" s="43">
        <f t="shared" si="45"/>
        <v>0.72</v>
      </c>
    </row>
    <row r="70" spans="1:22" ht="42.75" customHeight="1">
      <c r="A70" s="9" t="s">
        <v>46</v>
      </c>
      <c r="B70" s="45" t="s">
        <v>47</v>
      </c>
      <c r="C70" s="54" t="s">
        <v>12</v>
      </c>
      <c r="D70" s="54" t="s">
        <v>12</v>
      </c>
      <c r="E70" s="58" t="s">
        <v>12</v>
      </c>
      <c r="F70" s="26">
        <f t="shared" si="44"/>
        <v>1066080.3</v>
      </c>
      <c r="G70" s="25">
        <f>SUM(G72:G85)</f>
        <v>217712.9</v>
      </c>
      <c r="H70" s="25">
        <f>SUM(H72:H85)</f>
        <v>823980.6</v>
      </c>
      <c r="I70" s="25">
        <f>SUM(I72:I85)</f>
        <v>24386.799999999999</v>
      </c>
      <c r="J70" s="26">
        <f t="shared" si="73"/>
        <v>696126.8</v>
      </c>
      <c r="K70" s="25">
        <f>SUM(K72:K85)</f>
        <v>172544.2</v>
      </c>
      <c r="L70" s="25">
        <f>SUM(L72:L85)</f>
        <v>521697.7</v>
      </c>
      <c r="M70" s="25">
        <f>SUM(M72:M85)</f>
        <v>1884.9</v>
      </c>
      <c r="N70" s="25">
        <f>O70+P70+Q70</f>
        <v>585080.69999999995</v>
      </c>
      <c r="O70" s="25">
        <f>SUM(O72:O85)</f>
        <v>342360.8</v>
      </c>
      <c r="P70" s="25">
        <f t="shared" ref="P70" si="93">SUM(P72:P85)</f>
        <v>232868.6</v>
      </c>
      <c r="Q70" s="25">
        <f>SUM(Q72:Q85)</f>
        <v>9851.2999999999993</v>
      </c>
      <c r="R70" s="26">
        <f t="shared" ref="R70" si="94">SUM(R72:R85)</f>
        <v>966508.2</v>
      </c>
      <c r="S70" s="25">
        <f>SUM(S72:S85)</f>
        <v>8709.4</v>
      </c>
      <c r="T70" s="25">
        <f>SUM(T72:T85)</f>
        <v>957798.8</v>
      </c>
      <c r="U70" s="25">
        <f>SUM(U72:U85)</f>
        <v>0</v>
      </c>
      <c r="V70" s="35">
        <f t="shared" si="45"/>
        <v>0.65300000000000002</v>
      </c>
    </row>
    <row r="71" spans="1:22" ht="18.75">
      <c r="A71" s="36"/>
      <c r="B71" s="37" t="s">
        <v>15</v>
      </c>
      <c r="C71" s="30"/>
      <c r="D71" s="30"/>
      <c r="E71" s="30"/>
      <c r="F71" s="26"/>
      <c r="G71" s="25"/>
      <c r="H71" s="25"/>
      <c r="I71" s="25"/>
      <c r="J71" s="26"/>
      <c r="K71" s="25"/>
      <c r="L71" s="25"/>
      <c r="M71" s="25"/>
      <c r="N71" s="26"/>
      <c r="O71" s="25"/>
      <c r="P71" s="25"/>
      <c r="Q71" s="25"/>
      <c r="R71" s="26"/>
      <c r="S71" s="25"/>
      <c r="T71" s="25"/>
      <c r="U71" s="25"/>
      <c r="V71" s="35"/>
    </row>
    <row r="72" spans="1:22" ht="61.5" customHeight="1">
      <c r="A72" s="36"/>
      <c r="B72" s="38" t="s">
        <v>274</v>
      </c>
      <c r="C72" s="32" t="s">
        <v>280</v>
      </c>
      <c r="D72" s="33" t="s">
        <v>48</v>
      </c>
      <c r="E72" s="55" t="s">
        <v>281</v>
      </c>
      <c r="F72" s="26">
        <f t="shared" si="44"/>
        <v>0</v>
      </c>
      <c r="G72" s="75"/>
      <c r="H72" s="75"/>
      <c r="I72" s="75"/>
      <c r="J72" s="26">
        <f t="shared" ref="J72:J86" si="95">K72+L72+M72</f>
        <v>0</v>
      </c>
      <c r="K72" s="75"/>
      <c r="L72" s="75"/>
      <c r="M72" s="75"/>
      <c r="N72" s="25">
        <f t="shared" ref="N72:N86" si="96">O72+P72+Q72</f>
        <v>50000</v>
      </c>
      <c r="O72" s="75">
        <f>59090.9-9090.9</f>
        <v>50000</v>
      </c>
      <c r="P72" s="75"/>
      <c r="Q72" s="75"/>
      <c r="R72" s="25">
        <f t="shared" ref="R72:R86" si="97">S72+T72+U72</f>
        <v>0</v>
      </c>
      <c r="S72" s="75">
        <v>0</v>
      </c>
      <c r="T72" s="75"/>
      <c r="U72" s="75"/>
      <c r="V72" s="31" t="e">
        <f t="shared" si="45"/>
        <v>#DIV/0!</v>
      </c>
    </row>
    <row r="73" spans="1:22" ht="66" customHeight="1">
      <c r="A73" s="36"/>
      <c r="B73" s="38" t="s">
        <v>251</v>
      </c>
      <c r="C73" s="32" t="s">
        <v>280</v>
      </c>
      <c r="D73" s="33" t="s">
        <v>48</v>
      </c>
      <c r="E73" s="55" t="s">
        <v>249</v>
      </c>
      <c r="F73" s="25">
        <f t="shared" si="44"/>
        <v>119150.8</v>
      </c>
      <c r="G73" s="75">
        <v>119031.6</v>
      </c>
      <c r="H73" s="75"/>
      <c r="I73" s="75">
        <v>119.2</v>
      </c>
      <c r="J73" s="25">
        <f t="shared" si="95"/>
        <v>119150.3</v>
      </c>
      <c r="K73" s="75">
        <v>119031.6</v>
      </c>
      <c r="L73" s="75"/>
      <c r="M73" s="75">
        <v>118.7</v>
      </c>
      <c r="N73" s="25">
        <f t="shared" si="96"/>
        <v>0</v>
      </c>
      <c r="O73" s="75">
        <v>0</v>
      </c>
      <c r="P73" s="75"/>
      <c r="Q73" s="75"/>
      <c r="R73" s="25">
        <f t="shared" si="97"/>
        <v>0</v>
      </c>
      <c r="S73" s="75">
        <v>0</v>
      </c>
      <c r="T73" s="75"/>
      <c r="U73" s="75"/>
      <c r="V73" s="31">
        <f t="shared" si="45"/>
        <v>1</v>
      </c>
    </row>
    <row r="74" spans="1:22" ht="66" customHeight="1">
      <c r="A74" s="36"/>
      <c r="B74" s="38" t="s">
        <v>351</v>
      </c>
      <c r="C74" s="32" t="s">
        <v>258</v>
      </c>
      <c r="D74" s="33" t="s">
        <v>19</v>
      </c>
      <c r="E74" s="55" t="s">
        <v>350</v>
      </c>
      <c r="F74" s="25">
        <f t="shared" ref="F74" si="98">G74+H74+I74</f>
        <v>42898</v>
      </c>
      <c r="G74" s="75">
        <v>32173.5</v>
      </c>
      <c r="H74" s="75"/>
      <c r="I74" s="75">
        <v>10724.5</v>
      </c>
      <c r="J74" s="25">
        <f t="shared" ref="J74" si="99">K74+L74+M74</f>
        <v>32173.5</v>
      </c>
      <c r="K74" s="75">
        <v>32173.5</v>
      </c>
      <c r="L74" s="75"/>
      <c r="M74" s="75"/>
      <c r="N74" s="25">
        <f t="shared" ref="N74" si="100">O74+P74+Q74</f>
        <v>0</v>
      </c>
      <c r="O74" s="75"/>
      <c r="P74" s="75"/>
      <c r="Q74" s="75"/>
      <c r="R74" s="25">
        <f t="shared" ref="R74" si="101">S74+T74+U74</f>
        <v>0</v>
      </c>
      <c r="S74" s="75"/>
      <c r="T74" s="75"/>
      <c r="U74" s="75"/>
      <c r="V74" s="31">
        <f t="shared" ref="V74" si="102">J74/F74</f>
        <v>0.75</v>
      </c>
    </row>
    <row r="75" spans="1:22" ht="81" customHeight="1">
      <c r="A75" s="36"/>
      <c r="B75" s="38" t="s">
        <v>223</v>
      </c>
      <c r="C75" s="32" t="s">
        <v>280</v>
      </c>
      <c r="D75" s="33" t="s">
        <v>48</v>
      </c>
      <c r="E75" s="55" t="s">
        <v>132</v>
      </c>
      <c r="F75" s="25">
        <f t="shared" si="44"/>
        <v>33556.5</v>
      </c>
      <c r="G75" s="75">
        <v>5129.3</v>
      </c>
      <c r="H75" s="75">
        <v>28427.200000000001</v>
      </c>
      <c r="I75" s="75"/>
      <c r="J75" s="25">
        <f t="shared" si="95"/>
        <v>33556.5</v>
      </c>
      <c r="K75" s="75">
        <v>5129.3</v>
      </c>
      <c r="L75" s="75">
        <v>28427.200000000001</v>
      </c>
      <c r="M75" s="75"/>
      <c r="N75" s="25">
        <f t="shared" si="96"/>
        <v>41948.7</v>
      </c>
      <c r="O75" s="75">
        <v>5433.9</v>
      </c>
      <c r="P75" s="75">
        <v>36514.800000000003</v>
      </c>
      <c r="Q75" s="75"/>
      <c r="R75" s="25">
        <f t="shared" si="97"/>
        <v>35804.6</v>
      </c>
      <c r="S75" s="75">
        <v>5249.6</v>
      </c>
      <c r="T75" s="75">
        <v>30555</v>
      </c>
      <c r="U75" s="75"/>
      <c r="V75" s="31">
        <f t="shared" si="45"/>
        <v>1</v>
      </c>
    </row>
    <row r="76" spans="1:22" ht="53.25" customHeight="1">
      <c r="A76" s="36"/>
      <c r="B76" s="38" t="s">
        <v>275</v>
      </c>
      <c r="C76" s="32" t="s">
        <v>280</v>
      </c>
      <c r="D76" s="33" t="s">
        <v>48</v>
      </c>
      <c r="E76" s="55" t="s">
        <v>282</v>
      </c>
      <c r="F76" s="25">
        <f t="shared" ref="F76:F77" si="103">G76+H76+I76</f>
        <v>0</v>
      </c>
      <c r="G76" s="75">
        <v>0</v>
      </c>
      <c r="H76" s="75">
        <v>0</v>
      </c>
      <c r="I76" s="75"/>
      <c r="J76" s="25">
        <f t="shared" ref="J76:J77" si="104">K76+L76+M76</f>
        <v>0</v>
      </c>
      <c r="K76" s="75"/>
      <c r="L76" s="75"/>
      <c r="M76" s="75"/>
      <c r="N76" s="25">
        <f t="shared" ref="N76:N77" si="105">O76+P76+Q76</f>
        <v>0</v>
      </c>
      <c r="O76" s="75">
        <v>0</v>
      </c>
      <c r="P76" s="75">
        <v>0</v>
      </c>
      <c r="Q76" s="75"/>
      <c r="R76" s="25">
        <f t="shared" ref="R76:R77" si="106">S76+T76+U76</f>
        <v>63326.6</v>
      </c>
      <c r="S76" s="75">
        <v>1899.8</v>
      </c>
      <c r="T76" s="75">
        <v>61426.8</v>
      </c>
      <c r="U76" s="75"/>
      <c r="V76" s="31" t="e">
        <f t="shared" ref="V76:V77" si="107">J76/F76</f>
        <v>#DIV/0!</v>
      </c>
    </row>
    <row r="77" spans="1:22" ht="72.75" customHeight="1">
      <c r="A77" s="36"/>
      <c r="B77" s="38" t="s">
        <v>133</v>
      </c>
      <c r="C77" s="32" t="s">
        <v>280</v>
      </c>
      <c r="D77" s="33" t="s">
        <v>48</v>
      </c>
      <c r="E77" s="55" t="s">
        <v>134</v>
      </c>
      <c r="F77" s="25">
        <f t="shared" si="103"/>
        <v>15870.6</v>
      </c>
      <c r="G77" s="75">
        <v>476.1</v>
      </c>
      <c r="H77" s="75">
        <v>15394.5</v>
      </c>
      <c r="I77" s="75"/>
      <c r="J77" s="25">
        <f t="shared" si="104"/>
        <v>15870.6</v>
      </c>
      <c r="K77" s="75">
        <v>476.1</v>
      </c>
      <c r="L77" s="75">
        <v>15394.5</v>
      </c>
      <c r="M77" s="75"/>
      <c r="N77" s="25">
        <f t="shared" si="105"/>
        <v>32216.799999999999</v>
      </c>
      <c r="O77" s="75">
        <v>10548</v>
      </c>
      <c r="P77" s="75">
        <v>21668.799999999999</v>
      </c>
      <c r="Q77" s="75"/>
      <c r="R77" s="25">
        <f t="shared" si="106"/>
        <v>0</v>
      </c>
      <c r="S77" s="75">
        <v>0</v>
      </c>
      <c r="T77" s="75"/>
      <c r="U77" s="75"/>
      <c r="V77" s="31">
        <f t="shared" si="107"/>
        <v>1</v>
      </c>
    </row>
    <row r="78" spans="1:22" ht="72.75" customHeight="1">
      <c r="A78" s="36"/>
      <c r="B78" s="38" t="s">
        <v>334</v>
      </c>
      <c r="C78" s="32" t="s">
        <v>258</v>
      </c>
      <c r="D78" s="33" t="s">
        <v>19</v>
      </c>
      <c r="E78" s="55" t="s">
        <v>235</v>
      </c>
      <c r="F78" s="25">
        <f t="shared" si="44"/>
        <v>8555.2000000000007</v>
      </c>
      <c r="G78" s="75">
        <v>5.2</v>
      </c>
      <c r="H78" s="75"/>
      <c r="I78" s="75">
        <v>8550</v>
      </c>
      <c r="J78" s="25">
        <f t="shared" si="95"/>
        <v>1278.3</v>
      </c>
      <c r="K78" s="75">
        <v>5.2</v>
      </c>
      <c r="L78" s="75"/>
      <c r="M78" s="75">
        <v>1273.0999999999999</v>
      </c>
      <c r="N78" s="25">
        <f t="shared" si="96"/>
        <v>9581</v>
      </c>
      <c r="O78" s="75">
        <v>0</v>
      </c>
      <c r="P78" s="75"/>
      <c r="Q78" s="75">
        <v>9581</v>
      </c>
      <c r="R78" s="25">
        <f t="shared" si="97"/>
        <v>0</v>
      </c>
      <c r="S78" s="75">
        <v>0</v>
      </c>
      <c r="T78" s="75"/>
      <c r="U78" s="75"/>
      <c r="V78" s="31">
        <f>J78/F78</f>
        <v>0.14899999999999999</v>
      </c>
    </row>
    <row r="79" spans="1:22" ht="90.75" customHeight="1">
      <c r="A79" s="36"/>
      <c r="B79" s="38" t="s">
        <v>338</v>
      </c>
      <c r="C79" s="32" t="s">
        <v>280</v>
      </c>
      <c r="D79" s="33" t="s">
        <v>48</v>
      </c>
      <c r="E79" s="55" t="s">
        <v>337</v>
      </c>
      <c r="F79" s="25">
        <f t="shared" ref="F79" si="108">G79+H79+I79</f>
        <v>0</v>
      </c>
      <c r="G79" s="75"/>
      <c r="H79" s="75"/>
      <c r="I79" s="75"/>
      <c r="J79" s="25">
        <f t="shared" ref="J79" si="109">K79+L79+M79</f>
        <v>0</v>
      </c>
      <c r="K79" s="75"/>
      <c r="L79" s="75"/>
      <c r="M79" s="75"/>
      <c r="N79" s="25">
        <f t="shared" ref="N79" si="110">O79+P79+Q79</f>
        <v>14000</v>
      </c>
      <c r="O79" s="75">
        <v>1820</v>
      </c>
      <c r="P79" s="75">
        <v>12180</v>
      </c>
      <c r="Q79" s="75"/>
      <c r="R79" s="25">
        <f t="shared" ref="R79" si="111">S79+T79+U79</f>
        <v>12000</v>
      </c>
      <c r="S79" s="75">
        <v>1560</v>
      </c>
      <c r="T79" s="75">
        <v>10440</v>
      </c>
      <c r="U79" s="75"/>
      <c r="V79" s="31" t="e">
        <f>J79/F79</f>
        <v>#DIV/0!</v>
      </c>
    </row>
    <row r="80" spans="1:22" ht="67.5" customHeight="1">
      <c r="A80" s="36"/>
      <c r="B80" s="38" t="s">
        <v>252</v>
      </c>
      <c r="C80" s="32" t="s">
        <v>258</v>
      </c>
      <c r="D80" s="33" t="s">
        <v>19</v>
      </c>
      <c r="E80" s="55" t="s">
        <v>250</v>
      </c>
      <c r="F80" s="25">
        <f t="shared" si="44"/>
        <v>493148.8</v>
      </c>
      <c r="G80" s="75">
        <v>14779.7</v>
      </c>
      <c r="H80" s="75">
        <v>477876</v>
      </c>
      <c r="I80" s="75">
        <v>493.1</v>
      </c>
      <c r="J80" s="25">
        <f t="shared" si="95"/>
        <v>493148.8</v>
      </c>
      <c r="K80" s="75">
        <v>14779.7</v>
      </c>
      <c r="L80" s="75">
        <v>477876</v>
      </c>
      <c r="M80" s="75">
        <v>493.1</v>
      </c>
      <c r="N80" s="25">
        <f t="shared" si="96"/>
        <v>131987.9</v>
      </c>
      <c r="O80" s="75">
        <v>0</v>
      </c>
      <c r="P80" s="75">
        <v>131987.9</v>
      </c>
      <c r="Q80" s="75"/>
      <c r="R80" s="25">
        <f t="shared" si="97"/>
        <v>855377</v>
      </c>
      <c r="S80" s="75">
        <v>0</v>
      </c>
      <c r="T80" s="75">
        <v>855377</v>
      </c>
      <c r="U80" s="75"/>
      <c r="V80" s="31">
        <f>J80/F80</f>
        <v>1</v>
      </c>
    </row>
    <row r="81" spans="1:22" ht="69.75" customHeight="1">
      <c r="A81" s="36"/>
      <c r="B81" s="38" t="s">
        <v>276</v>
      </c>
      <c r="C81" s="32" t="s">
        <v>258</v>
      </c>
      <c r="D81" s="87" t="s">
        <v>19</v>
      </c>
      <c r="E81" s="55" t="s">
        <v>283</v>
      </c>
      <c r="F81" s="25">
        <f t="shared" si="44"/>
        <v>0</v>
      </c>
      <c r="G81" s="75">
        <v>0</v>
      </c>
      <c r="H81" s="75"/>
      <c r="I81" s="75">
        <v>0</v>
      </c>
      <c r="J81" s="25">
        <f t="shared" si="95"/>
        <v>0</v>
      </c>
      <c r="K81" s="75"/>
      <c r="L81" s="75"/>
      <c r="M81" s="75"/>
      <c r="N81" s="25">
        <f t="shared" si="96"/>
        <v>270269.2</v>
      </c>
      <c r="O81" s="75">
        <v>269998.90000000002</v>
      </c>
      <c r="P81" s="75"/>
      <c r="Q81" s="75">
        <v>270.3</v>
      </c>
      <c r="R81" s="25">
        <f t="shared" si="97"/>
        <v>0</v>
      </c>
      <c r="S81" s="75">
        <v>0</v>
      </c>
      <c r="T81" s="75"/>
      <c r="U81" s="75"/>
      <c r="V81" s="31" t="e">
        <f t="shared" si="45"/>
        <v>#DIV/0!</v>
      </c>
    </row>
    <row r="82" spans="1:22" ht="64.5" customHeight="1">
      <c r="A82" s="36"/>
      <c r="B82" s="38" t="s">
        <v>277</v>
      </c>
      <c r="C82" s="32" t="s">
        <v>258</v>
      </c>
      <c r="D82" s="33" t="s">
        <v>19</v>
      </c>
      <c r="E82" s="55" t="s">
        <v>135</v>
      </c>
      <c r="F82" s="25">
        <f t="shared" ref="F82:F83" si="112">G82+H82+I82</f>
        <v>4500</v>
      </c>
      <c r="G82" s="75">
        <f>45168.7-45168.7</f>
        <v>0</v>
      </c>
      <c r="H82" s="75"/>
      <c r="I82" s="75">
        <v>4500</v>
      </c>
      <c r="J82" s="25">
        <f t="shared" ref="J82" si="113">K82+L82+M82</f>
        <v>0</v>
      </c>
      <c r="K82" s="75"/>
      <c r="L82" s="75"/>
      <c r="M82" s="75"/>
      <c r="N82" s="25">
        <f t="shared" ref="N82:N83" si="114">O82+P82+Q82</f>
        <v>35077.1</v>
      </c>
      <c r="O82" s="75">
        <v>4560</v>
      </c>
      <c r="P82" s="75">
        <v>30517.1</v>
      </c>
      <c r="Q82" s="75"/>
      <c r="R82" s="25">
        <f t="shared" ref="R82:R83" si="115">S82+T82+U82</f>
        <v>0</v>
      </c>
      <c r="S82" s="75">
        <v>0</v>
      </c>
      <c r="T82" s="75">
        <v>0</v>
      </c>
      <c r="U82" s="75"/>
      <c r="V82" s="31">
        <f t="shared" ref="V82:V83" si="116">J82/F82</f>
        <v>0</v>
      </c>
    </row>
    <row r="83" spans="1:22" ht="51.75" customHeight="1">
      <c r="A83" s="36"/>
      <c r="B83" s="38" t="s">
        <v>277</v>
      </c>
      <c r="C83" s="32" t="s">
        <v>280</v>
      </c>
      <c r="D83" s="33" t="s">
        <v>48</v>
      </c>
      <c r="E83" s="55" t="s">
        <v>135</v>
      </c>
      <c r="F83" s="25">
        <f t="shared" si="112"/>
        <v>347451.6</v>
      </c>
      <c r="G83" s="75">
        <v>45168.7</v>
      </c>
      <c r="H83" s="75">
        <v>302282.90000000002</v>
      </c>
      <c r="I83" s="75"/>
      <c r="J83" s="25"/>
      <c r="K83" s="75"/>
      <c r="L83" s="75">
        <v>0</v>
      </c>
      <c r="M83" s="75"/>
      <c r="N83" s="25">
        <f t="shared" si="114"/>
        <v>0</v>
      </c>
      <c r="O83" s="75"/>
      <c r="P83" s="75"/>
      <c r="Q83" s="75"/>
      <c r="R83" s="25">
        <f t="shared" si="115"/>
        <v>0</v>
      </c>
      <c r="S83" s="75"/>
      <c r="T83" s="75"/>
      <c r="U83" s="75"/>
      <c r="V83" s="31">
        <f t="shared" si="116"/>
        <v>0</v>
      </c>
    </row>
    <row r="84" spans="1:22" ht="58.5" customHeight="1">
      <c r="A84" s="36"/>
      <c r="B84" s="38" t="s">
        <v>278</v>
      </c>
      <c r="C84" s="32" t="s">
        <v>280</v>
      </c>
      <c r="D84" s="33" t="s">
        <v>48</v>
      </c>
      <c r="E84" s="55" t="s">
        <v>284</v>
      </c>
      <c r="F84" s="25">
        <f t="shared" ref="F84" si="117">G84+H84+I84</f>
        <v>0</v>
      </c>
      <c r="G84" s="75">
        <f>22384.2-22384.2</f>
        <v>0</v>
      </c>
      <c r="H84" s="75"/>
      <c r="I84" s="75"/>
      <c r="J84" s="25">
        <f t="shared" ref="J84" si="118">K84+L84+M84</f>
        <v>0</v>
      </c>
      <c r="K84" s="75"/>
      <c r="L84" s="75"/>
      <c r="M84" s="75"/>
      <c r="N84" s="25">
        <f t="shared" ref="N84" si="119">O84+P84+Q84</f>
        <v>0</v>
      </c>
      <c r="O84" s="75">
        <f>91106.8-91106.8</f>
        <v>0</v>
      </c>
      <c r="P84" s="75"/>
      <c r="Q84" s="75"/>
      <c r="R84" s="25">
        <f t="shared" ref="R84" si="120">S84+T84+U84</f>
        <v>0</v>
      </c>
      <c r="S84" s="75">
        <f>50012.8-50012.8</f>
        <v>0</v>
      </c>
      <c r="T84" s="75"/>
      <c r="U84" s="75"/>
      <c r="V84" s="31" t="e">
        <f t="shared" ref="V84" si="121">J84/F84</f>
        <v>#DIV/0!</v>
      </c>
    </row>
    <row r="85" spans="1:22" ht="108.75" customHeight="1">
      <c r="A85" s="36"/>
      <c r="B85" s="38" t="s">
        <v>279</v>
      </c>
      <c r="C85" s="32" t="s">
        <v>280</v>
      </c>
      <c r="D85" s="33" t="s">
        <v>48</v>
      </c>
      <c r="E85" s="55" t="s">
        <v>285</v>
      </c>
      <c r="F85" s="26">
        <f t="shared" ref="F85" si="122">G85+H85+I85</f>
        <v>948.8</v>
      </c>
      <c r="G85" s="75">
        <v>948.8</v>
      </c>
      <c r="H85" s="75"/>
      <c r="I85" s="75"/>
      <c r="J85" s="26">
        <f t="shared" ref="J85" si="123">K85+L85+M85</f>
        <v>948.8</v>
      </c>
      <c r="K85" s="75">
        <v>948.8</v>
      </c>
      <c r="L85" s="75"/>
      <c r="M85" s="75"/>
      <c r="N85" s="25">
        <f t="shared" ref="N85" si="124">O85+P85+Q85</f>
        <v>0</v>
      </c>
      <c r="O85" s="75">
        <v>0</v>
      </c>
      <c r="P85" s="75"/>
      <c r="Q85" s="75"/>
      <c r="R85" s="25">
        <f t="shared" ref="R85" si="125">S85+T85+U85</f>
        <v>0</v>
      </c>
      <c r="S85" s="75">
        <v>0</v>
      </c>
      <c r="T85" s="75"/>
      <c r="U85" s="75"/>
      <c r="V85" s="31">
        <f t="shared" ref="V85" si="126">J85/F85</f>
        <v>1</v>
      </c>
    </row>
    <row r="86" spans="1:22" ht="34.5" customHeight="1">
      <c r="A86" s="22" t="s">
        <v>49</v>
      </c>
      <c r="B86" s="23" t="s">
        <v>55</v>
      </c>
      <c r="C86" s="24" t="s">
        <v>12</v>
      </c>
      <c r="D86" s="24" t="s">
        <v>12</v>
      </c>
      <c r="E86" s="24" t="s">
        <v>12</v>
      </c>
      <c r="F86" s="26">
        <f t="shared" si="44"/>
        <v>16110.5</v>
      </c>
      <c r="G86" s="25">
        <f>SUM(G88:G92)</f>
        <v>7584.4</v>
      </c>
      <c r="H86" s="25">
        <f>SUM(H88:H92)</f>
        <v>8517.2999999999993</v>
      </c>
      <c r="I86" s="25">
        <f>SUM(I88:I92)</f>
        <v>8.8000000000000007</v>
      </c>
      <c r="J86" s="26">
        <f t="shared" si="95"/>
        <v>15756.1</v>
      </c>
      <c r="K86" s="25">
        <f>SUM(K88:K92)</f>
        <v>7573.8</v>
      </c>
      <c r="L86" s="25">
        <f>SUM(L88:L92)</f>
        <v>8173.8</v>
      </c>
      <c r="M86" s="25">
        <f>SUM(M88:M92)</f>
        <v>8.5</v>
      </c>
      <c r="N86" s="25">
        <f t="shared" si="96"/>
        <v>350372.1</v>
      </c>
      <c r="O86" s="25">
        <f>SUM(O88:O92)</f>
        <v>150785.70000000001</v>
      </c>
      <c r="P86" s="25">
        <f>SUM(P88:P92)</f>
        <v>199586.4</v>
      </c>
      <c r="Q86" s="25">
        <f>SUM(Q88:Q92)</f>
        <v>0</v>
      </c>
      <c r="R86" s="25">
        <f t="shared" si="97"/>
        <v>16746.5</v>
      </c>
      <c r="S86" s="25">
        <f>SUM(S88:S92)</f>
        <v>502.4</v>
      </c>
      <c r="T86" s="25">
        <f>SUM(T88:T92)</f>
        <v>16244.1</v>
      </c>
      <c r="U86" s="25">
        <f>SUM(U88:U92)</f>
        <v>0</v>
      </c>
      <c r="V86" s="27">
        <f t="shared" si="45"/>
        <v>0.97799999999999998</v>
      </c>
    </row>
    <row r="87" spans="1:22" ht="18.75">
      <c r="A87" s="36"/>
      <c r="B87" s="37" t="s">
        <v>15</v>
      </c>
      <c r="C87" s="30"/>
      <c r="D87" s="30"/>
      <c r="E87" s="30"/>
      <c r="F87" s="26"/>
      <c r="G87" s="25"/>
      <c r="H87" s="25"/>
      <c r="I87" s="25"/>
      <c r="J87" s="26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7"/>
    </row>
    <row r="88" spans="1:22" ht="69.75" customHeight="1">
      <c r="A88" s="36"/>
      <c r="B88" s="38" t="s">
        <v>136</v>
      </c>
      <c r="C88" s="32" t="s">
        <v>258</v>
      </c>
      <c r="D88" s="33" t="s">
        <v>19</v>
      </c>
      <c r="E88" s="55" t="s">
        <v>137</v>
      </c>
      <c r="F88" s="26">
        <f t="shared" si="44"/>
        <v>8789.5</v>
      </c>
      <c r="G88" s="75">
        <v>263.39999999999998</v>
      </c>
      <c r="H88" s="75">
        <v>8517.2999999999993</v>
      </c>
      <c r="I88" s="75">
        <v>8.8000000000000007</v>
      </c>
      <c r="J88" s="26">
        <f t="shared" ref="J88:J93" si="127">K88+L88+M88</f>
        <v>8435.1</v>
      </c>
      <c r="K88" s="75">
        <v>252.8</v>
      </c>
      <c r="L88" s="75">
        <v>8173.8</v>
      </c>
      <c r="M88" s="75">
        <v>8.5</v>
      </c>
      <c r="N88" s="25">
        <f t="shared" ref="N88:N93" si="128">O88+P88+Q88</f>
        <v>8614.2999999999993</v>
      </c>
      <c r="O88" s="75">
        <v>258.39999999999998</v>
      </c>
      <c r="P88" s="75">
        <v>8355.9</v>
      </c>
      <c r="Q88" s="75"/>
      <c r="R88" s="25">
        <f t="shared" ref="R88:R93" si="129">S88+T88+U88</f>
        <v>9732.6</v>
      </c>
      <c r="S88" s="75">
        <v>292</v>
      </c>
      <c r="T88" s="75">
        <v>9440.6</v>
      </c>
      <c r="U88" s="75"/>
      <c r="V88" s="31">
        <f t="shared" si="45"/>
        <v>0.96</v>
      </c>
    </row>
    <row r="89" spans="1:22" ht="57" customHeight="1">
      <c r="A89" s="36"/>
      <c r="B89" s="38" t="s">
        <v>56</v>
      </c>
      <c r="C89" s="32" t="s">
        <v>280</v>
      </c>
      <c r="D89" s="33" t="s">
        <v>48</v>
      </c>
      <c r="E89" s="55" t="s">
        <v>174</v>
      </c>
      <c r="F89" s="26">
        <f t="shared" si="44"/>
        <v>0</v>
      </c>
      <c r="G89" s="75">
        <v>0</v>
      </c>
      <c r="H89" s="75"/>
      <c r="I89" s="75"/>
      <c r="J89" s="26">
        <f t="shared" si="127"/>
        <v>0</v>
      </c>
      <c r="K89" s="75"/>
      <c r="L89" s="75"/>
      <c r="M89" s="75"/>
      <c r="N89" s="25">
        <f t="shared" si="128"/>
        <v>341757.8</v>
      </c>
      <c r="O89" s="75">
        <v>150527.29999999999</v>
      </c>
      <c r="P89" s="75">
        <v>191230.5</v>
      </c>
      <c r="Q89" s="75"/>
      <c r="R89" s="25">
        <f t="shared" si="129"/>
        <v>0</v>
      </c>
      <c r="S89" s="75">
        <v>0</v>
      </c>
      <c r="T89" s="75"/>
      <c r="U89" s="75"/>
      <c r="V89" s="31" t="e">
        <f t="shared" si="45"/>
        <v>#DIV/0!</v>
      </c>
    </row>
    <row r="90" spans="1:22" ht="60" customHeight="1">
      <c r="A90" s="36"/>
      <c r="B90" s="38" t="s">
        <v>139</v>
      </c>
      <c r="C90" s="32" t="s">
        <v>280</v>
      </c>
      <c r="D90" s="33" t="s">
        <v>48</v>
      </c>
      <c r="E90" s="55" t="s">
        <v>138</v>
      </c>
      <c r="F90" s="26">
        <f t="shared" si="44"/>
        <v>0</v>
      </c>
      <c r="G90" s="75">
        <v>0</v>
      </c>
      <c r="H90" s="75"/>
      <c r="I90" s="75"/>
      <c r="J90" s="25">
        <f t="shared" si="127"/>
        <v>0</v>
      </c>
      <c r="K90" s="75"/>
      <c r="L90" s="75"/>
      <c r="M90" s="75"/>
      <c r="N90" s="25">
        <f t="shared" si="128"/>
        <v>0</v>
      </c>
      <c r="O90" s="75">
        <v>0</v>
      </c>
      <c r="P90" s="75"/>
      <c r="Q90" s="75"/>
      <c r="R90" s="25">
        <f t="shared" si="129"/>
        <v>7013.9</v>
      </c>
      <c r="S90" s="75">
        <v>210.4</v>
      </c>
      <c r="T90" s="75">
        <v>6803.5</v>
      </c>
      <c r="U90" s="75"/>
      <c r="V90" s="31" t="e">
        <f t="shared" si="45"/>
        <v>#DIV/0!</v>
      </c>
    </row>
    <row r="91" spans="1:22" ht="55.5" customHeight="1">
      <c r="A91" s="36"/>
      <c r="B91" s="38" t="s">
        <v>57</v>
      </c>
      <c r="C91" s="32" t="s">
        <v>280</v>
      </c>
      <c r="D91" s="33" t="s">
        <v>48</v>
      </c>
      <c r="E91" s="55" t="s">
        <v>185</v>
      </c>
      <c r="F91" s="26">
        <f t="shared" si="44"/>
        <v>4000</v>
      </c>
      <c r="G91" s="75">
        <v>4000</v>
      </c>
      <c r="H91" s="75"/>
      <c r="I91" s="75"/>
      <c r="J91" s="25">
        <f t="shared" si="127"/>
        <v>4000</v>
      </c>
      <c r="K91" s="75">
        <v>4000</v>
      </c>
      <c r="L91" s="75"/>
      <c r="M91" s="75"/>
      <c r="N91" s="25">
        <f t="shared" si="128"/>
        <v>0</v>
      </c>
      <c r="O91" s="75">
        <v>0</v>
      </c>
      <c r="P91" s="75"/>
      <c r="Q91" s="75"/>
      <c r="R91" s="25">
        <f t="shared" si="129"/>
        <v>0</v>
      </c>
      <c r="S91" s="75">
        <v>0</v>
      </c>
      <c r="T91" s="75"/>
      <c r="U91" s="75"/>
      <c r="V91" s="31">
        <f t="shared" si="45"/>
        <v>1</v>
      </c>
    </row>
    <row r="92" spans="1:22" ht="60.75" customHeight="1">
      <c r="A92" s="36"/>
      <c r="B92" s="38" t="s">
        <v>332</v>
      </c>
      <c r="C92" s="32" t="s">
        <v>280</v>
      </c>
      <c r="D92" s="33" t="s">
        <v>48</v>
      </c>
      <c r="E92" s="36" t="s">
        <v>186</v>
      </c>
      <c r="F92" s="26">
        <f t="shared" si="44"/>
        <v>3321</v>
      </c>
      <c r="G92" s="75">
        <v>3321</v>
      </c>
      <c r="H92" s="75"/>
      <c r="I92" s="75"/>
      <c r="J92" s="26">
        <f t="shared" si="127"/>
        <v>3321</v>
      </c>
      <c r="K92" s="75">
        <v>3321</v>
      </c>
      <c r="L92" s="75"/>
      <c r="M92" s="75"/>
      <c r="N92" s="25">
        <f t="shared" si="128"/>
        <v>0</v>
      </c>
      <c r="O92" s="75">
        <v>0</v>
      </c>
      <c r="P92" s="75"/>
      <c r="Q92" s="75"/>
      <c r="R92" s="25">
        <f t="shared" si="129"/>
        <v>0</v>
      </c>
      <c r="S92" s="75">
        <v>0</v>
      </c>
      <c r="T92" s="75"/>
      <c r="U92" s="75"/>
      <c r="V92" s="31">
        <f t="shared" si="45"/>
        <v>1</v>
      </c>
    </row>
    <row r="93" spans="1:22" ht="46.5" customHeight="1">
      <c r="A93" s="22" t="s">
        <v>54</v>
      </c>
      <c r="B93" s="45" t="s">
        <v>50</v>
      </c>
      <c r="C93" s="24" t="s">
        <v>12</v>
      </c>
      <c r="D93" s="24" t="s">
        <v>12</v>
      </c>
      <c r="E93" s="24" t="s">
        <v>12</v>
      </c>
      <c r="F93" s="26">
        <f t="shared" si="44"/>
        <v>127278</v>
      </c>
      <c r="G93" s="25">
        <f>SUM(G95:G100)</f>
        <v>36449</v>
      </c>
      <c r="H93" s="25">
        <f>SUM(H95:H100)</f>
        <v>90829</v>
      </c>
      <c r="I93" s="25">
        <f>SUM(I95:I100)</f>
        <v>0</v>
      </c>
      <c r="J93" s="26">
        <f t="shared" si="127"/>
        <v>127278.1</v>
      </c>
      <c r="K93" s="25">
        <f>SUM(K95:K100)</f>
        <v>36449</v>
      </c>
      <c r="L93" s="25">
        <f>SUM(L95:L100)</f>
        <v>90829.1</v>
      </c>
      <c r="M93" s="25">
        <f>SUM(M95:M100)</f>
        <v>0</v>
      </c>
      <c r="N93" s="25">
        <f t="shared" si="128"/>
        <v>156583.9</v>
      </c>
      <c r="O93" s="25">
        <f>SUM(O95:O100)</f>
        <v>50316.800000000003</v>
      </c>
      <c r="P93" s="25">
        <f>SUM(P95:P100)</f>
        <v>106267.1</v>
      </c>
      <c r="Q93" s="25">
        <f>SUM(Q95:Q100)</f>
        <v>0</v>
      </c>
      <c r="R93" s="25">
        <f t="shared" si="129"/>
        <v>43457</v>
      </c>
      <c r="S93" s="25">
        <f>SUM(S95:S100)</f>
        <v>31069.4</v>
      </c>
      <c r="T93" s="25">
        <f>SUM(T95:T100)</f>
        <v>12387.6</v>
      </c>
      <c r="U93" s="25">
        <f>SUM(U95:U100)</f>
        <v>0</v>
      </c>
      <c r="V93" s="27">
        <f t="shared" si="45"/>
        <v>1</v>
      </c>
    </row>
    <row r="94" spans="1:22" ht="18.75">
      <c r="A94" s="36"/>
      <c r="B94" s="37" t="s">
        <v>15</v>
      </c>
      <c r="C94" s="30"/>
      <c r="D94" s="30"/>
      <c r="E94" s="30"/>
      <c r="F94" s="26"/>
      <c r="G94" s="25"/>
      <c r="H94" s="25"/>
      <c r="I94" s="25"/>
      <c r="J94" s="26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7"/>
    </row>
    <row r="95" spans="1:22" ht="61.5" customHeight="1">
      <c r="A95" s="36"/>
      <c r="B95" s="38" t="s">
        <v>187</v>
      </c>
      <c r="C95" s="32" t="s">
        <v>280</v>
      </c>
      <c r="D95" s="33" t="s">
        <v>48</v>
      </c>
      <c r="E95" s="55" t="s">
        <v>188</v>
      </c>
      <c r="F95" s="26">
        <f t="shared" si="44"/>
        <v>29506</v>
      </c>
      <c r="G95" s="75">
        <v>29506</v>
      </c>
      <c r="H95" s="75"/>
      <c r="I95" s="75"/>
      <c r="J95" s="26">
        <f t="shared" ref="J95:J101" si="130">K95+L95+M95</f>
        <v>29506</v>
      </c>
      <c r="K95" s="75">
        <v>29506</v>
      </c>
      <c r="L95" s="75"/>
      <c r="M95" s="75"/>
      <c r="N95" s="25">
        <f t="shared" ref="N95:N101" si="131">O95+P95+Q95</f>
        <v>41501.9</v>
      </c>
      <c r="O95" s="75">
        <v>41501.9</v>
      </c>
      <c r="P95" s="75"/>
      <c r="Q95" s="75"/>
      <c r="R95" s="25">
        <f t="shared" ref="R95:R101" si="132">S95+T95+U95</f>
        <v>25786.3</v>
      </c>
      <c r="S95" s="75">
        <v>25786.3</v>
      </c>
      <c r="T95" s="75"/>
      <c r="U95" s="75"/>
      <c r="V95" s="31">
        <f t="shared" si="45"/>
        <v>1</v>
      </c>
    </row>
    <row r="96" spans="1:22" ht="60.75" customHeight="1">
      <c r="A96" s="36"/>
      <c r="B96" s="38" t="s">
        <v>224</v>
      </c>
      <c r="C96" s="32" t="s">
        <v>280</v>
      </c>
      <c r="D96" s="33" t="s">
        <v>48</v>
      </c>
      <c r="E96" s="55" t="s">
        <v>140</v>
      </c>
      <c r="F96" s="26">
        <f t="shared" si="44"/>
        <v>63693.4</v>
      </c>
      <c r="G96" s="75">
        <v>1910.8</v>
      </c>
      <c r="H96" s="75">
        <v>61782.6</v>
      </c>
      <c r="I96" s="75"/>
      <c r="J96" s="25">
        <f t="shared" si="130"/>
        <v>63693.5</v>
      </c>
      <c r="K96" s="75">
        <v>1910.8</v>
      </c>
      <c r="L96" s="75">
        <v>61782.7</v>
      </c>
      <c r="M96" s="75"/>
      <c r="N96" s="25">
        <f t="shared" si="131"/>
        <v>96453.6</v>
      </c>
      <c r="O96" s="75">
        <v>2893.6</v>
      </c>
      <c r="P96" s="75">
        <v>93560</v>
      </c>
      <c r="Q96" s="75"/>
      <c r="R96" s="25">
        <f t="shared" si="132"/>
        <v>12770.7</v>
      </c>
      <c r="S96" s="75">
        <v>383.1</v>
      </c>
      <c r="T96" s="75">
        <v>12387.6</v>
      </c>
      <c r="U96" s="75"/>
      <c r="V96" s="31">
        <f t="shared" si="45"/>
        <v>1</v>
      </c>
    </row>
    <row r="97" spans="1:22" ht="68.25" customHeight="1">
      <c r="A97" s="36"/>
      <c r="B97" s="38" t="s">
        <v>224</v>
      </c>
      <c r="C97" s="32" t="s">
        <v>286</v>
      </c>
      <c r="D97" s="33" t="s">
        <v>51</v>
      </c>
      <c r="E97" s="55" t="s">
        <v>140</v>
      </c>
      <c r="F97" s="26">
        <f t="shared" si="44"/>
        <v>12501.2</v>
      </c>
      <c r="G97" s="75">
        <v>375</v>
      </c>
      <c r="H97" s="75">
        <v>12126.2</v>
      </c>
      <c r="I97" s="75"/>
      <c r="J97" s="25">
        <f t="shared" si="130"/>
        <v>12501.2</v>
      </c>
      <c r="K97" s="75">
        <f>3.3+371.7</f>
        <v>375</v>
      </c>
      <c r="L97" s="75">
        <f>107.6+12018.6</f>
        <v>12126.2</v>
      </c>
      <c r="M97" s="75"/>
      <c r="N97" s="25">
        <f t="shared" si="131"/>
        <v>13100.1</v>
      </c>
      <c r="O97" s="75">
        <v>393</v>
      </c>
      <c r="P97" s="75">
        <v>12707.1</v>
      </c>
      <c r="Q97" s="75"/>
      <c r="R97" s="25">
        <f t="shared" si="132"/>
        <v>0</v>
      </c>
      <c r="S97" s="75">
        <v>0</v>
      </c>
      <c r="T97" s="75"/>
      <c r="U97" s="75"/>
      <c r="V97" s="31">
        <f t="shared" si="45"/>
        <v>1</v>
      </c>
    </row>
    <row r="98" spans="1:22" ht="50.25" customHeight="1">
      <c r="A98" s="36"/>
      <c r="B98" s="38" t="s">
        <v>53</v>
      </c>
      <c r="C98" s="32" t="s">
        <v>286</v>
      </c>
      <c r="D98" s="33" t="s">
        <v>51</v>
      </c>
      <c r="E98" s="36" t="s">
        <v>176</v>
      </c>
      <c r="F98" s="26">
        <f t="shared" si="44"/>
        <v>3561.2</v>
      </c>
      <c r="G98" s="75">
        <f>3605.13-43.9</f>
        <v>3561.2</v>
      </c>
      <c r="H98" s="75"/>
      <c r="I98" s="75"/>
      <c r="J98" s="25">
        <f t="shared" si="130"/>
        <v>3561.2</v>
      </c>
      <c r="K98" s="75">
        <f>2582.9+978.3</f>
        <v>3561.2</v>
      </c>
      <c r="L98" s="75"/>
      <c r="M98" s="75"/>
      <c r="N98" s="25">
        <f t="shared" si="131"/>
        <v>4325.8999999999996</v>
      </c>
      <c r="O98" s="75">
        <v>4325.8999999999996</v>
      </c>
      <c r="P98" s="75"/>
      <c r="Q98" s="75"/>
      <c r="R98" s="25">
        <f t="shared" si="132"/>
        <v>4390.5</v>
      </c>
      <c r="S98" s="75">
        <v>4390.5</v>
      </c>
      <c r="T98" s="75"/>
      <c r="U98" s="75"/>
      <c r="V98" s="31">
        <f t="shared" si="45"/>
        <v>1</v>
      </c>
    </row>
    <row r="99" spans="1:22" ht="55.5" customHeight="1">
      <c r="A99" s="36"/>
      <c r="B99" s="38" t="s">
        <v>52</v>
      </c>
      <c r="C99" s="32" t="s">
        <v>280</v>
      </c>
      <c r="D99" s="33" t="s">
        <v>48</v>
      </c>
      <c r="E99" s="36" t="s">
        <v>173</v>
      </c>
      <c r="F99" s="26">
        <f t="shared" si="44"/>
        <v>572.70000000000005</v>
      </c>
      <c r="G99" s="75">
        <v>572.70000000000005</v>
      </c>
      <c r="H99" s="75"/>
      <c r="I99" s="75"/>
      <c r="J99" s="25">
        <f t="shared" si="130"/>
        <v>572.70000000000005</v>
      </c>
      <c r="K99" s="75">
        <v>572.70000000000005</v>
      </c>
      <c r="L99" s="75"/>
      <c r="M99" s="75"/>
      <c r="N99" s="25">
        <f t="shared" si="131"/>
        <v>1202.4000000000001</v>
      </c>
      <c r="O99" s="75">
        <v>1202.4000000000001</v>
      </c>
      <c r="P99" s="75"/>
      <c r="Q99" s="75"/>
      <c r="R99" s="25">
        <f t="shared" si="132"/>
        <v>509.5</v>
      </c>
      <c r="S99" s="75">
        <v>509.5</v>
      </c>
      <c r="T99" s="75"/>
      <c r="U99" s="75"/>
      <c r="V99" s="31">
        <f t="shared" si="45"/>
        <v>1</v>
      </c>
    </row>
    <row r="100" spans="1:22" ht="51" customHeight="1">
      <c r="A100" s="36"/>
      <c r="B100" s="38" t="s">
        <v>141</v>
      </c>
      <c r="C100" s="32" t="s">
        <v>280</v>
      </c>
      <c r="D100" s="33" t="s">
        <v>48</v>
      </c>
      <c r="E100" s="36" t="s">
        <v>142</v>
      </c>
      <c r="F100" s="26">
        <f t="shared" si="44"/>
        <v>17443.5</v>
      </c>
      <c r="G100" s="75">
        <v>523.29999999999995</v>
      </c>
      <c r="H100" s="75">
        <v>16920.2</v>
      </c>
      <c r="I100" s="75"/>
      <c r="J100" s="26">
        <f t="shared" si="130"/>
        <v>17443.5</v>
      </c>
      <c r="K100" s="75">
        <v>523.29999999999995</v>
      </c>
      <c r="L100" s="75">
        <v>16920.2</v>
      </c>
      <c r="M100" s="75"/>
      <c r="N100" s="25">
        <f t="shared" si="131"/>
        <v>0</v>
      </c>
      <c r="O100" s="75">
        <v>0</v>
      </c>
      <c r="P100" s="75"/>
      <c r="Q100" s="75"/>
      <c r="R100" s="25">
        <f t="shared" si="132"/>
        <v>0</v>
      </c>
      <c r="S100" s="75">
        <v>0</v>
      </c>
      <c r="T100" s="75"/>
      <c r="U100" s="75"/>
      <c r="V100" s="31">
        <f t="shared" si="45"/>
        <v>1</v>
      </c>
    </row>
    <row r="101" spans="1:22" ht="57" customHeight="1">
      <c r="A101" s="22" t="s">
        <v>58</v>
      </c>
      <c r="B101" s="45" t="s">
        <v>59</v>
      </c>
      <c r="C101" s="24" t="s">
        <v>12</v>
      </c>
      <c r="D101" s="24" t="s">
        <v>12</v>
      </c>
      <c r="E101" s="24" t="s">
        <v>12</v>
      </c>
      <c r="F101" s="26">
        <f t="shared" si="44"/>
        <v>58779.8</v>
      </c>
      <c r="G101" s="25">
        <f>SUM(G103:G103)</f>
        <v>1763.4</v>
      </c>
      <c r="H101" s="25">
        <f>SUM(H103:H103)</f>
        <v>57016.4</v>
      </c>
      <c r="I101" s="25">
        <f>SUM(I103:I103)</f>
        <v>0</v>
      </c>
      <c r="J101" s="26">
        <f t="shared" si="130"/>
        <v>58779.8</v>
      </c>
      <c r="K101" s="25">
        <f>SUM(K103:K103)</f>
        <v>1763.4</v>
      </c>
      <c r="L101" s="25">
        <f>SUM(L103:L103)</f>
        <v>57016.4</v>
      </c>
      <c r="M101" s="25">
        <f>SUM(M103:M103)</f>
        <v>0</v>
      </c>
      <c r="N101" s="25">
        <f t="shared" si="131"/>
        <v>27351.599999999999</v>
      </c>
      <c r="O101" s="25">
        <f>SUM(O103:O103)</f>
        <v>820.5</v>
      </c>
      <c r="P101" s="25">
        <f>SUM(P103:P103)</f>
        <v>26531.1</v>
      </c>
      <c r="Q101" s="25">
        <f>SUM(Q103:Q103)</f>
        <v>0</v>
      </c>
      <c r="R101" s="25">
        <f t="shared" si="132"/>
        <v>26462.1</v>
      </c>
      <c r="S101" s="25">
        <f>SUM(S103:S103)</f>
        <v>793.9</v>
      </c>
      <c r="T101" s="25">
        <f>SUM(T103:T103)</f>
        <v>25668.2</v>
      </c>
      <c r="U101" s="25">
        <f>SUM(U103:U103)</f>
        <v>0</v>
      </c>
      <c r="V101" s="27">
        <f t="shared" si="45"/>
        <v>1</v>
      </c>
    </row>
    <row r="102" spans="1:22" ht="18.75">
      <c r="A102" s="36"/>
      <c r="B102" s="37" t="s">
        <v>15</v>
      </c>
      <c r="C102" s="30"/>
      <c r="D102" s="30"/>
      <c r="E102" s="30"/>
      <c r="F102" s="26"/>
      <c r="G102" s="25"/>
      <c r="H102" s="25"/>
      <c r="I102" s="25"/>
      <c r="J102" s="26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7"/>
    </row>
    <row r="103" spans="1:22" ht="66" customHeight="1">
      <c r="A103" s="36"/>
      <c r="B103" s="38" t="s">
        <v>287</v>
      </c>
      <c r="C103" s="32" t="s">
        <v>286</v>
      </c>
      <c r="D103" s="33" t="s">
        <v>51</v>
      </c>
      <c r="E103" s="32" t="s">
        <v>288</v>
      </c>
      <c r="F103" s="26">
        <f t="shared" si="44"/>
        <v>58779.8</v>
      </c>
      <c r="G103" s="75">
        <v>1763.4</v>
      </c>
      <c r="H103" s="75">
        <v>57016.4</v>
      </c>
      <c r="I103" s="75"/>
      <c r="J103" s="26">
        <f t="shared" ref="J103:J106" si="133">K103+L103+M103</f>
        <v>58779.8</v>
      </c>
      <c r="K103" s="75">
        <v>1763.4</v>
      </c>
      <c r="L103" s="75">
        <v>57016.4</v>
      </c>
      <c r="M103" s="75"/>
      <c r="N103" s="25">
        <f>O103+P103+Q103</f>
        <v>27351.599999999999</v>
      </c>
      <c r="O103" s="75">
        <v>820.5</v>
      </c>
      <c r="P103" s="75">
        <v>26531.1</v>
      </c>
      <c r="Q103" s="75"/>
      <c r="R103" s="25">
        <f t="shared" ref="R103:R106" si="134">S103+T103+U103</f>
        <v>26462.1</v>
      </c>
      <c r="S103" s="75">
        <v>793.9</v>
      </c>
      <c r="T103" s="75">
        <v>25668.2</v>
      </c>
      <c r="U103" s="75"/>
      <c r="V103" s="27">
        <f t="shared" si="45"/>
        <v>1</v>
      </c>
    </row>
    <row r="104" spans="1:22" ht="46.5" customHeight="1">
      <c r="A104" s="22" t="s">
        <v>358</v>
      </c>
      <c r="B104" s="45" t="s">
        <v>357</v>
      </c>
      <c r="C104" s="24" t="s">
        <v>12</v>
      </c>
      <c r="D104" s="24" t="s">
        <v>12</v>
      </c>
      <c r="E104" s="24" t="s">
        <v>12</v>
      </c>
      <c r="F104" s="26">
        <f>G104+H104+I104</f>
        <v>56354.1</v>
      </c>
      <c r="G104" s="75">
        <f>G108+G106+G107</f>
        <v>3083.7</v>
      </c>
      <c r="H104" s="75">
        <f>H108+H106+H107</f>
        <v>53270.400000000001</v>
      </c>
      <c r="I104" s="75">
        <f>I108+I106+I107</f>
        <v>0</v>
      </c>
      <c r="J104" s="26">
        <f t="shared" si="133"/>
        <v>56345.5</v>
      </c>
      <c r="K104" s="75">
        <f>K108+K106+K107</f>
        <v>3075.1</v>
      </c>
      <c r="L104" s="75">
        <f>L108+L106+L107</f>
        <v>53270.400000000001</v>
      </c>
      <c r="M104" s="75">
        <f>M108+M106+M107</f>
        <v>0</v>
      </c>
      <c r="N104" s="75">
        <f t="shared" ref="N104" si="135">N108+N106</f>
        <v>0</v>
      </c>
      <c r="O104" s="75">
        <f>O108+O106+O107</f>
        <v>0</v>
      </c>
      <c r="P104" s="75">
        <f>P108+P106+P107</f>
        <v>0</v>
      </c>
      <c r="Q104" s="75">
        <f>Q108+Q106+Q107</f>
        <v>0</v>
      </c>
      <c r="R104" s="25">
        <f>S104+T104+U104</f>
        <v>0</v>
      </c>
      <c r="S104" s="75">
        <f>S106+S108++S107</f>
        <v>0</v>
      </c>
      <c r="T104" s="75">
        <f>T106+T108++T107</f>
        <v>0</v>
      </c>
      <c r="U104" s="75">
        <f>U106+U108++U107</f>
        <v>0</v>
      </c>
      <c r="V104" s="27">
        <f t="shared" si="45"/>
        <v>1</v>
      </c>
    </row>
    <row r="105" spans="1:22" ht="19.5" customHeight="1">
      <c r="A105" s="36"/>
      <c r="B105" s="37" t="s">
        <v>15</v>
      </c>
      <c r="C105" s="32"/>
      <c r="D105" s="33"/>
      <c r="E105" s="32"/>
      <c r="F105" s="26"/>
      <c r="G105" s="75"/>
      <c r="H105" s="75"/>
      <c r="I105" s="75"/>
      <c r="J105" s="26"/>
      <c r="K105" s="75"/>
      <c r="L105" s="75"/>
      <c r="M105" s="75"/>
      <c r="N105" s="25"/>
      <c r="O105" s="75"/>
      <c r="P105" s="75"/>
      <c r="Q105" s="75"/>
      <c r="R105" s="25"/>
      <c r="S105" s="75"/>
      <c r="T105" s="75"/>
      <c r="U105" s="75"/>
      <c r="V105" s="27"/>
    </row>
    <row r="106" spans="1:22" ht="84" customHeight="1">
      <c r="A106" s="36"/>
      <c r="B106" s="105" t="s">
        <v>381</v>
      </c>
      <c r="C106" s="32">
        <v>815</v>
      </c>
      <c r="D106" s="87" t="s">
        <v>48</v>
      </c>
      <c r="E106" s="32" t="s">
        <v>380</v>
      </c>
      <c r="F106" s="26">
        <f t="shared" si="44"/>
        <v>775.3</v>
      </c>
      <c r="G106" s="75">
        <v>775.3</v>
      </c>
      <c r="H106" s="75"/>
      <c r="I106" s="75"/>
      <c r="J106" s="26">
        <f t="shared" si="133"/>
        <v>775.3</v>
      </c>
      <c r="K106" s="75">
        <v>775.3</v>
      </c>
      <c r="L106" s="75"/>
      <c r="M106" s="75"/>
      <c r="N106" s="25">
        <f>O106+P106+Q106</f>
        <v>0</v>
      </c>
      <c r="O106" s="75"/>
      <c r="P106" s="75"/>
      <c r="Q106" s="75"/>
      <c r="R106" s="25">
        <f t="shared" si="134"/>
        <v>0</v>
      </c>
      <c r="S106" s="75"/>
      <c r="T106" s="75"/>
      <c r="U106" s="75"/>
      <c r="V106" s="27">
        <f>J106/F106</f>
        <v>1</v>
      </c>
    </row>
    <row r="107" spans="1:22" ht="84" customHeight="1">
      <c r="A107" s="36"/>
      <c r="B107" s="106" t="s">
        <v>381</v>
      </c>
      <c r="C107" s="32" t="s">
        <v>280</v>
      </c>
      <c r="D107" s="87" t="s">
        <v>48</v>
      </c>
      <c r="E107" s="32" t="s">
        <v>387</v>
      </c>
      <c r="F107" s="26">
        <f>G107+H107+I107</f>
        <v>25065.4</v>
      </c>
      <c r="G107" s="75"/>
      <c r="H107" s="75">
        <v>25065.4</v>
      </c>
      <c r="I107" s="75"/>
      <c r="J107" s="26">
        <f>K107+L107+M107</f>
        <v>25065.4</v>
      </c>
      <c r="K107" s="75"/>
      <c r="L107" s="75">
        <v>25065.4</v>
      </c>
      <c r="M107" s="75"/>
      <c r="N107" s="25">
        <f>O107+P107+Q107</f>
        <v>0</v>
      </c>
      <c r="O107" s="75"/>
      <c r="P107" s="75"/>
      <c r="Q107" s="75"/>
      <c r="R107" s="25">
        <f>S107+T107+U107</f>
        <v>0</v>
      </c>
      <c r="S107" s="75"/>
      <c r="T107" s="75"/>
      <c r="U107" s="75"/>
      <c r="V107" s="27">
        <f>J107/F107</f>
        <v>1</v>
      </c>
    </row>
    <row r="108" spans="1:22" ht="84" customHeight="1">
      <c r="A108" s="36"/>
      <c r="B108" s="38" t="s">
        <v>359</v>
      </c>
      <c r="C108" s="32">
        <v>815</v>
      </c>
      <c r="D108" s="87" t="s">
        <v>48</v>
      </c>
      <c r="E108" s="32" t="s">
        <v>360</v>
      </c>
      <c r="F108" s="26">
        <f>G108+H108+I108</f>
        <v>30513.4</v>
      </c>
      <c r="G108" s="75">
        <v>2308.4</v>
      </c>
      <c r="H108" s="75">
        <v>28205</v>
      </c>
      <c r="I108" s="75">
        <v>0</v>
      </c>
      <c r="J108" s="26">
        <f>K108+L108+M108</f>
        <v>30504.799999999999</v>
      </c>
      <c r="K108" s="75">
        <v>2299.8000000000002</v>
      </c>
      <c r="L108" s="75">
        <v>28205</v>
      </c>
      <c r="M108" s="75"/>
      <c r="N108" s="25">
        <f>O108+P108+Q108</f>
        <v>0</v>
      </c>
      <c r="O108" s="75"/>
      <c r="P108" s="75"/>
      <c r="Q108" s="75"/>
      <c r="R108" s="25">
        <f>S108+T108+U108</f>
        <v>0</v>
      </c>
      <c r="S108" s="75"/>
      <c r="T108" s="75"/>
      <c r="U108" s="75"/>
      <c r="V108" s="27">
        <f t="shared" si="45"/>
        <v>1</v>
      </c>
    </row>
    <row r="109" spans="1:22" ht="28.5" customHeight="1">
      <c r="A109" s="17" t="s">
        <v>60</v>
      </c>
      <c r="B109" s="56" t="s">
        <v>61</v>
      </c>
      <c r="C109" s="19" t="s">
        <v>12</v>
      </c>
      <c r="D109" s="19" t="s">
        <v>12</v>
      </c>
      <c r="E109" s="19" t="s">
        <v>12</v>
      </c>
      <c r="F109" s="42">
        <f t="shared" ref="F109:F135" si="136">G109+H109+I109</f>
        <v>9517.7000000000007</v>
      </c>
      <c r="G109" s="42">
        <f>G110+G115</f>
        <v>2005.9</v>
      </c>
      <c r="H109" s="42">
        <f t="shared" ref="H109" si="137">H110+H115</f>
        <v>7511.8</v>
      </c>
      <c r="I109" s="42">
        <f>I110+I115</f>
        <v>0</v>
      </c>
      <c r="J109" s="42">
        <f t="shared" ref="J109:J110" si="138">K109+L109+M109</f>
        <v>9517.7000000000007</v>
      </c>
      <c r="K109" s="42">
        <f>K110+K115</f>
        <v>2005.9</v>
      </c>
      <c r="L109" s="42">
        <f t="shared" ref="L109:M109" si="139">L110+L115</f>
        <v>7511.8</v>
      </c>
      <c r="M109" s="42">
        <f t="shared" si="139"/>
        <v>0</v>
      </c>
      <c r="N109" s="42">
        <f t="shared" ref="N109:N110" si="140">O109+P109+Q109</f>
        <v>65202.400000000001</v>
      </c>
      <c r="O109" s="42">
        <f>O110+O115</f>
        <v>3828.8</v>
      </c>
      <c r="P109" s="42">
        <f t="shared" ref="P109:Q109" si="141">P110+P115</f>
        <v>61373.599999999999</v>
      </c>
      <c r="Q109" s="42">
        <f t="shared" si="141"/>
        <v>0</v>
      </c>
      <c r="R109" s="42">
        <f t="shared" ref="R109:R110" si="142">S109+T109+U109</f>
        <v>259397.1</v>
      </c>
      <c r="S109" s="42">
        <f>S110+S115</f>
        <v>9654.6</v>
      </c>
      <c r="T109" s="42">
        <f t="shared" ref="T109:U109" si="143">T110+T115</f>
        <v>249742.5</v>
      </c>
      <c r="U109" s="42">
        <f t="shared" si="143"/>
        <v>0</v>
      </c>
      <c r="V109" s="43">
        <f t="shared" si="45"/>
        <v>1</v>
      </c>
    </row>
    <row r="110" spans="1:22" ht="37.5" customHeight="1">
      <c r="A110" s="9" t="s">
        <v>62</v>
      </c>
      <c r="B110" s="23" t="s">
        <v>66</v>
      </c>
      <c r="C110" s="34" t="s">
        <v>12</v>
      </c>
      <c r="D110" s="34" t="s">
        <v>12</v>
      </c>
      <c r="E110" s="24" t="s">
        <v>12</v>
      </c>
      <c r="F110" s="26">
        <f t="shared" si="136"/>
        <v>7587.7</v>
      </c>
      <c r="G110" s="25">
        <f>SUM(G111:G114)</f>
        <v>75.900000000000006</v>
      </c>
      <c r="H110" s="25">
        <f>SUM(H111:H114)</f>
        <v>7511.8</v>
      </c>
      <c r="I110" s="25">
        <f>SUM(I111:I114)</f>
        <v>0</v>
      </c>
      <c r="J110" s="26">
        <f t="shared" si="138"/>
        <v>7587.7</v>
      </c>
      <c r="K110" s="25">
        <f>SUM(K111:K114)</f>
        <v>75.900000000000006</v>
      </c>
      <c r="L110" s="25">
        <f>SUM(L111:L114)</f>
        <v>7511.8</v>
      </c>
      <c r="M110" s="25">
        <f>SUM(M111:M114)</f>
        <v>0</v>
      </c>
      <c r="N110" s="25">
        <f t="shared" si="140"/>
        <v>63272.4</v>
      </c>
      <c r="O110" s="25">
        <f>SUM(O112:O114)</f>
        <v>1898.8</v>
      </c>
      <c r="P110" s="25">
        <f t="shared" ref="P110:Q110" si="144">SUM(P112:P114)</f>
        <v>61373.599999999999</v>
      </c>
      <c r="Q110" s="25">
        <f t="shared" si="144"/>
        <v>0</v>
      </c>
      <c r="R110" s="25">
        <f t="shared" si="142"/>
        <v>257467.1</v>
      </c>
      <c r="S110" s="25">
        <f>SUM(S112:S114)</f>
        <v>7724.6</v>
      </c>
      <c r="T110" s="25">
        <f t="shared" ref="T110:U110" si="145">SUM(T112:T114)</f>
        <v>249742.5</v>
      </c>
      <c r="U110" s="25">
        <f t="shared" si="145"/>
        <v>0</v>
      </c>
      <c r="V110" s="35">
        <f t="shared" ref="V110:V135" si="146">J110/F110</f>
        <v>1</v>
      </c>
    </row>
    <row r="111" spans="1:22" ht="18.75">
      <c r="A111" s="22"/>
      <c r="B111" s="57" t="s">
        <v>15</v>
      </c>
      <c r="C111" s="58"/>
      <c r="D111" s="58"/>
      <c r="E111" s="58"/>
      <c r="F111" s="26"/>
      <c r="G111" s="25"/>
      <c r="H111" s="25"/>
      <c r="I111" s="25"/>
      <c r="J111" s="26"/>
      <c r="K111" s="25"/>
      <c r="L111" s="25"/>
      <c r="M111" s="25"/>
      <c r="N111" s="26"/>
      <c r="O111" s="25"/>
      <c r="P111" s="25"/>
      <c r="Q111" s="25"/>
      <c r="R111" s="26"/>
      <c r="S111" s="25"/>
      <c r="T111" s="25"/>
      <c r="U111" s="25"/>
      <c r="V111" s="35"/>
    </row>
    <row r="112" spans="1:22" ht="156" customHeight="1">
      <c r="A112" s="22"/>
      <c r="B112" s="38" t="s">
        <v>290</v>
      </c>
      <c r="C112" s="33" t="s">
        <v>280</v>
      </c>
      <c r="D112" s="33" t="s">
        <v>48</v>
      </c>
      <c r="E112" s="32" t="s">
        <v>228</v>
      </c>
      <c r="F112" s="26">
        <f t="shared" si="136"/>
        <v>0</v>
      </c>
      <c r="G112" s="25">
        <v>0</v>
      </c>
      <c r="H112" s="25"/>
      <c r="I112" s="25"/>
      <c r="J112" s="26">
        <f t="shared" ref="J112:J114" si="147">K112+L112+M112</f>
        <v>0</v>
      </c>
      <c r="K112" s="25"/>
      <c r="L112" s="25"/>
      <c r="M112" s="25"/>
      <c r="N112" s="26">
        <f t="shared" ref="N112:N114" si="148">O112+P112+Q112</f>
        <v>56053</v>
      </c>
      <c r="O112" s="75">
        <v>1681.6</v>
      </c>
      <c r="P112" s="75">
        <v>54371.4</v>
      </c>
      <c r="Q112" s="25"/>
      <c r="R112" s="26">
        <f t="shared" ref="R112:R114" si="149">S112+T112+U112</f>
        <v>250247.7</v>
      </c>
      <c r="S112" s="75">
        <v>7507.4</v>
      </c>
      <c r="T112" s="75">
        <v>242740.3</v>
      </c>
      <c r="U112" s="25"/>
      <c r="V112" s="59" t="e">
        <f t="shared" si="146"/>
        <v>#DIV/0!</v>
      </c>
    </row>
    <row r="113" spans="1:101" ht="60.75" customHeight="1">
      <c r="A113" s="22"/>
      <c r="B113" s="38" t="s">
        <v>291</v>
      </c>
      <c r="C113" s="33" t="s">
        <v>257</v>
      </c>
      <c r="D113" s="33" t="s">
        <v>17</v>
      </c>
      <c r="E113" s="32" t="s">
        <v>289</v>
      </c>
      <c r="F113" s="26">
        <f t="shared" si="136"/>
        <v>7587.7</v>
      </c>
      <c r="G113" s="25">
        <v>75.900000000000006</v>
      </c>
      <c r="H113" s="75">
        <v>7511.8</v>
      </c>
      <c r="I113" s="25"/>
      <c r="J113" s="26">
        <f t="shared" si="147"/>
        <v>7587.7</v>
      </c>
      <c r="K113" s="25">
        <v>75.900000000000006</v>
      </c>
      <c r="L113" s="25">
        <v>7511.8</v>
      </c>
      <c r="M113" s="25"/>
      <c r="N113" s="26">
        <f t="shared" si="148"/>
        <v>0</v>
      </c>
      <c r="O113" s="75">
        <v>0</v>
      </c>
      <c r="P113" s="75">
        <v>0</v>
      </c>
      <c r="Q113" s="25"/>
      <c r="R113" s="26">
        <f t="shared" si="149"/>
        <v>0</v>
      </c>
      <c r="S113" s="75">
        <v>0</v>
      </c>
      <c r="T113" s="75">
        <v>0</v>
      </c>
      <c r="U113" s="25"/>
      <c r="V113" s="59">
        <f t="shared" si="146"/>
        <v>1</v>
      </c>
    </row>
    <row r="114" spans="1:101" ht="153.75" customHeight="1">
      <c r="A114" s="22"/>
      <c r="B114" s="38" t="s">
        <v>220</v>
      </c>
      <c r="C114" s="33" t="s">
        <v>292</v>
      </c>
      <c r="D114" s="33" t="s">
        <v>230</v>
      </c>
      <c r="E114" s="32" t="s">
        <v>219</v>
      </c>
      <c r="F114" s="26">
        <f t="shared" si="136"/>
        <v>0</v>
      </c>
      <c r="G114" s="25">
        <f>1359.4-1359.4</f>
        <v>0</v>
      </c>
      <c r="H114" s="75"/>
      <c r="I114" s="25"/>
      <c r="J114" s="26">
        <f t="shared" si="147"/>
        <v>0</v>
      </c>
      <c r="K114" s="25"/>
      <c r="L114" s="25"/>
      <c r="M114" s="25"/>
      <c r="N114" s="26">
        <f t="shared" si="148"/>
        <v>7219.4</v>
      </c>
      <c r="O114" s="75">
        <v>217.2</v>
      </c>
      <c r="P114" s="75">
        <v>7002.2</v>
      </c>
      <c r="Q114" s="25"/>
      <c r="R114" s="26">
        <f t="shared" si="149"/>
        <v>7219.4</v>
      </c>
      <c r="S114" s="75">
        <v>217.2</v>
      </c>
      <c r="T114" s="75">
        <v>7002.2</v>
      </c>
      <c r="U114" s="25"/>
      <c r="V114" s="59" t="e">
        <f t="shared" si="146"/>
        <v>#DIV/0!</v>
      </c>
    </row>
    <row r="115" spans="1:101" ht="39.75" customHeight="1">
      <c r="A115" s="22" t="s">
        <v>63</v>
      </c>
      <c r="B115" s="45" t="s">
        <v>341</v>
      </c>
      <c r="C115" s="58" t="s">
        <v>12</v>
      </c>
      <c r="D115" s="58" t="s">
        <v>12</v>
      </c>
      <c r="E115" s="58" t="s">
        <v>12</v>
      </c>
      <c r="F115" s="26">
        <f t="shared" si="136"/>
        <v>1930</v>
      </c>
      <c r="G115" s="25">
        <f>SUM(G117:G117)</f>
        <v>1930</v>
      </c>
      <c r="H115" s="25">
        <f>SUM(H117:H117)</f>
        <v>0</v>
      </c>
      <c r="I115" s="25">
        <f>SUM(I117:I117)</f>
        <v>0</v>
      </c>
      <c r="J115" s="25">
        <f t="shared" ref="J115" si="150">K115+L115+M115</f>
        <v>1930</v>
      </c>
      <c r="K115" s="25">
        <f>SUM(K117:K117)</f>
        <v>1930</v>
      </c>
      <c r="L115" s="25">
        <f>SUM(L117:L117)</f>
        <v>0</v>
      </c>
      <c r="M115" s="25">
        <f>SUM(M117:M117)</f>
        <v>0</v>
      </c>
      <c r="N115" s="26">
        <f t="shared" ref="N115" si="151">O115+P115+Q115</f>
        <v>1930</v>
      </c>
      <c r="O115" s="25">
        <f>SUM(O117:O117)</f>
        <v>1930</v>
      </c>
      <c r="P115" s="25">
        <f>SUM(P117:P117)</f>
        <v>0</v>
      </c>
      <c r="Q115" s="25">
        <f>SUM(Q117:Q117)</f>
        <v>0</v>
      </c>
      <c r="R115" s="26">
        <f t="shared" ref="R115" si="152">S115+T115+U115</f>
        <v>1930</v>
      </c>
      <c r="S115" s="25">
        <f>SUM(S117)</f>
        <v>1930</v>
      </c>
      <c r="T115" s="25">
        <f t="shared" ref="T115:U115" si="153">SUM(T117)</f>
        <v>0</v>
      </c>
      <c r="U115" s="25">
        <f t="shared" si="153"/>
        <v>0</v>
      </c>
      <c r="V115" s="35">
        <f t="shared" si="146"/>
        <v>1</v>
      </c>
    </row>
    <row r="116" spans="1:101" ht="18.75">
      <c r="A116" s="36"/>
      <c r="B116" s="57" t="s">
        <v>15</v>
      </c>
      <c r="C116" s="30"/>
      <c r="D116" s="39"/>
      <c r="E116" s="60"/>
      <c r="F116" s="26"/>
      <c r="G116" s="25"/>
      <c r="H116" s="25"/>
      <c r="I116" s="25"/>
      <c r="J116" s="25"/>
      <c r="K116" s="25"/>
      <c r="L116" s="25"/>
      <c r="M116" s="25"/>
      <c r="N116" s="26"/>
      <c r="O116" s="25"/>
      <c r="P116" s="25"/>
      <c r="Q116" s="25"/>
      <c r="R116" s="26"/>
      <c r="S116" s="25"/>
      <c r="T116" s="25"/>
      <c r="U116" s="25"/>
      <c r="V116" s="35"/>
    </row>
    <row r="117" spans="1:101" ht="74.25" customHeight="1">
      <c r="A117" s="36"/>
      <c r="B117" s="38" t="s">
        <v>108</v>
      </c>
      <c r="C117" s="33" t="s">
        <v>293</v>
      </c>
      <c r="D117" s="33" t="s">
        <v>65</v>
      </c>
      <c r="E117" s="55" t="s">
        <v>163</v>
      </c>
      <c r="F117" s="26">
        <f t="shared" ref="F117" si="154">G117+H117+I117</f>
        <v>1930</v>
      </c>
      <c r="G117" s="75">
        <v>1930</v>
      </c>
      <c r="H117" s="75"/>
      <c r="I117" s="75"/>
      <c r="J117" s="25">
        <f t="shared" ref="J117" si="155">K117+L117+M117</f>
        <v>1930</v>
      </c>
      <c r="K117" s="75">
        <f>9+1921</f>
        <v>1930</v>
      </c>
      <c r="L117" s="75"/>
      <c r="M117" s="75"/>
      <c r="N117" s="26">
        <f t="shared" ref="N117" si="156">O117+P117+Q117</f>
        <v>1930</v>
      </c>
      <c r="O117" s="75">
        <v>1930</v>
      </c>
      <c r="P117" s="75"/>
      <c r="Q117" s="75"/>
      <c r="R117" s="26">
        <f t="shared" ref="R117" si="157">S117+T117+U117</f>
        <v>1930</v>
      </c>
      <c r="S117" s="75">
        <v>1930</v>
      </c>
      <c r="T117" s="75"/>
      <c r="U117" s="75"/>
      <c r="V117" s="59">
        <f t="shared" ref="V117" si="158">J117/F117</f>
        <v>1</v>
      </c>
    </row>
    <row r="118" spans="1:101" s="62" customFormat="1" ht="33.75" customHeight="1">
      <c r="A118" s="17" t="s">
        <v>67</v>
      </c>
      <c r="B118" s="56" t="s">
        <v>68</v>
      </c>
      <c r="C118" s="19" t="s">
        <v>12</v>
      </c>
      <c r="D118" s="19" t="s">
        <v>12</v>
      </c>
      <c r="E118" s="19" t="s">
        <v>12</v>
      </c>
      <c r="F118" s="42">
        <f t="shared" si="136"/>
        <v>3597299.4</v>
      </c>
      <c r="G118" s="42">
        <f>G119+G124+G129</f>
        <v>250336.5</v>
      </c>
      <c r="H118" s="42">
        <f t="shared" ref="H118" si="159">H119+H124+H129</f>
        <v>3154106</v>
      </c>
      <c r="I118" s="42">
        <f>I119+I124+I129</f>
        <v>192856.9</v>
      </c>
      <c r="J118" s="42">
        <f t="shared" ref="J118:J119" si="160">K118+L118+M118</f>
        <v>1622646.8</v>
      </c>
      <c r="K118" s="42">
        <f>K119+K124+K129</f>
        <v>180919.9</v>
      </c>
      <c r="L118" s="42">
        <f t="shared" ref="L118:M118" si="161">L119+L124+L129</f>
        <v>1296403.8</v>
      </c>
      <c r="M118" s="42">
        <f t="shared" si="161"/>
        <v>145323.1</v>
      </c>
      <c r="N118" s="42">
        <f t="shared" ref="N118:N119" si="162">O118+P118+Q118</f>
        <v>3862255.9</v>
      </c>
      <c r="O118" s="42">
        <f>O119+O124+O129</f>
        <v>961523.8</v>
      </c>
      <c r="P118" s="42">
        <f>P119+P124+P129</f>
        <v>2832040.1</v>
      </c>
      <c r="Q118" s="42">
        <f t="shared" ref="Q118" si="163">Q119+Q124+Q129</f>
        <v>68692</v>
      </c>
      <c r="R118" s="42">
        <f t="shared" ref="R118:R119" si="164">S118+T118+U118</f>
        <v>688396.6</v>
      </c>
      <c r="S118" s="42">
        <f>S119+S124+S129</f>
        <v>66336.800000000003</v>
      </c>
      <c r="T118" s="42">
        <f t="shared" ref="T118:U118" si="165">T119+T124+T129</f>
        <v>561814.69999999995</v>
      </c>
      <c r="U118" s="42">
        <f t="shared" si="165"/>
        <v>60245.1</v>
      </c>
      <c r="V118" s="43">
        <f t="shared" si="146"/>
        <v>0.45100000000000001</v>
      </c>
      <c r="W118" s="2"/>
      <c r="X118" s="89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</row>
    <row r="119" spans="1:101" ht="36" customHeight="1">
      <c r="A119" s="9" t="s">
        <v>69</v>
      </c>
      <c r="B119" s="23" t="s">
        <v>70</v>
      </c>
      <c r="C119" s="34" t="s">
        <v>12</v>
      </c>
      <c r="D119" s="34" t="s">
        <v>12</v>
      </c>
      <c r="E119" s="34" t="s">
        <v>12</v>
      </c>
      <c r="F119" s="26">
        <f t="shared" si="136"/>
        <v>568177.9</v>
      </c>
      <c r="G119" s="25">
        <f>SUM(G121:G123)</f>
        <v>11197.6</v>
      </c>
      <c r="H119" s="25">
        <f t="shared" ref="H119:I119" si="166">SUM(H121:H123)</f>
        <v>534342.40000000002</v>
      </c>
      <c r="I119" s="25">
        <f t="shared" si="166"/>
        <v>22637.9</v>
      </c>
      <c r="J119" s="26">
        <f t="shared" si="160"/>
        <v>566563.6</v>
      </c>
      <c r="K119" s="25">
        <f>SUM(K121:K123)</f>
        <v>10551.9</v>
      </c>
      <c r="L119" s="25">
        <f t="shared" ref="L119:M119" si="167">SUM(L121:L123)</f>
        <v>534342.30000000005</v>
      </c>
      <c r="M119" s="25">
        <f t="shared" si="167"/>
        <v>21669.4</v>
      </c>
      <c r="N119" s="25">
        <f t="shared" si="162"/>
        <v>395431.1</v>
      </c>
      <c r="O119" s="25">
        <f>SUM(O121:O123)</f>
        <v>11197.6</v>
      </c>
      <c r="P119" s="25">
        <f t="shared" ref="P119:Q119" si="168">SUM(P121:P123)</f>
        <v>362056.5</v>
      </c>
      <c r="Q119" s="25">
        <f t="shared" si="168"/>
        <v>22177</v>
      </c>
      <c r="R119" s="25">
        <f t="shared" si="164"/>
        <v>430953.8</v>
      </c>
      <c r="S119" s="25">
        <f>SUM(S121:S123)</f>
        <v>12441.8</v>
      </c>
      <c r="T119" s="25">
        <f t="shared" ref="T119:U119" si="169">SUM(T121:T123)</f>
        <v>402285</v>
      </c>
      <c r="U119" s="25">
        <f t="shared" si="169"/>
        <v>16227</v>
      </c>
      <c r="V119" s="35">
        <f t="shared" si="146"/>
        <v>0.997</v>
      </c>
      <c r="X119" s="16"/>
      <c r="Y119" s="16"/>
    </row>
    <row r="120" spans="1:101" ht="18.75">
      <c r="A120" s="12"/>
      <c r="B120" s="29" t="s">
        <v>15</v>
      </c>
      <c r="C120" s="53"/>
      <c r="D120" s="53"/>
      <c r="E120" s="53"/>
      <c r="F120" s="26"/>
      <c r="G120" s="25"/>
      <c r="H120" s="25"/>
      <c r="I120" s="25"/>
      <c r="J120" s="26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35"/>
    </row>
    <row r="121" spans="1:101" ht="74.25" customHeight="1">
      <c r="A121" s="36"/>
      <c r="B121" s="38" t="s">
        <v>295</v>
      </c>
      <c r="C121" s="32" t="s">
        <v>258</v>
      </c>
      <c r="D121" s="33" t="s">
        <v>19</v>
      </c>
      <c r="E121" s="32" t="s">
        <v>294</v>
      </c>
      <c r="F121" s="26">
        <f t="shared" si="136"/>
        <v>123138</v>
      </c>
      <c r="G121" s="25"/>
      <c r="H121" s="25">
        <v>123138</v>
      </c>
      <c r="I121" s="25">
        <v>0</v>
      </c>
      <c r="J121" s="26">
        <f t="shared" ref="J121:J124" si="170">K121+L121+M121</f>
        <v>123138</v>
      </c>
      <c r="K121" s="25"/>
      <c r="L121" s="25">
        <v>123138</v>
      </c>
      <c r="M121" s="25"/>
      <c r="N121" s="25">
        <f t="shared" ref="N121:N124" si="171">O121+P121+Q121</f>
        <v>0</v>
      </c>
      <c r="O121" s="25">
        <v>0</v>
      </c>
      <c r="P121" s="25">
        <v>0</v>
      </c>
      <c r="Q121" s="25"/>
      <c r="R121" s="25">
        <f t="shared" ref="R121:R124" si="172">S121+T121+U121</f>
        <v>0</v>
      </c>
      <c r="S121" s="25">
        <v>0</v>
      </c>
      <c r="T121" s="25">
        <v>0</v>
      </c>
      <c r="U121" s="25"/>
      <c r="V121" s="59">
        <f t="shared" si="146"/>
        <v>1</v>
      </c>
      <c r="X121"/>
    </row>
    <row r="122" spans="1:101" ht="105.75" customHeight="1">
      <c r="A122" s="36"/>
      <c r="B122" s="38" t="s">
        <v>371</v>
      </c>
      <c r="C122" s="32" t="s">
        <v>258</v>
      </c>
      <c r="D122" s="33" t="s">
        <v>19</v>
      </c>
      <c r="E122" s="32" t="s">
        <v>370</v>
      </c>
      <c r="F122" s="26">
        <f t="shared" si="136"/>
        <v>70026</v>
      </c>
      <c r="G122" s="25"/>
      <c r="H122" s="25">
        <v>70026</v>
      </c>
      <c r="I122" s="25"/>
      <c r="J122" s="26">
        <f t="shared" si="170"/>
        <v>70026</v>
      </c>
      <c r="K122" s="25"/>
      <c r="L122" s="25">
        <v>70026</v>
      </c>
      <c r="M122" s="25"/>
      <c r="N122" s="25">
        <f t="shared" si="171"/>
        <v>0</v>
      </c>
      <c r="O122" s="25"/>
      <c r="P122" s="25"/>
      <c r="Q122" s="25"/>
      <c r="R122" s="25">
        <f t="shared" si="172"/>
        <v>0</v>
      </c>
      <c r="S122" s="25"/>
      <c r="T122" s="25"/>
      <c r="U122" s="25"/>
      <c r="V122" s="59">
        <f t="shared" si="146"/>
        <v>1</v>
      </c>
      <c r="X122"/>
    </row>
    <row r="123" spans="1:101" ht="36.75" customHeight="1">
      <c r="A123" s="36"/>
      <c r="B123" s="38" t="s">
        <v>71</v>
      </c>
      <c r="C123" s="32" t="s">
        <v>258</v>
      </c>
      <c r="D123" s="33" t="s">
        <v>19</v>
      </c>
      <c r="E123" s="32" t="s">
        <v>155</v>
      </c>
      <c r="F123" s="26">
        <f t="shared" si="136"/>
        <v>375013.9</v>
      </c>
      <c r="G123" s="75">
        <v>11197.6</v>
      </c>
      <c r="H123" s="75">
        <v>341178.4</v>
      </c>
      <c r="I123" s="75">
        <v>22637.9</v>
      </c>
      <c r="J123" s="26">
        <f t="shared" si="170"/>
        <v>373399.6</v>
      </c>
      <c r="K123" s="75">
        <v>10551.9</v>
      </c>
      <c r="L123" s="75">
        <v>341178.3</v>
      </c>
      <c r="M123" s="75">
        <v>21669.4</v>
      </c>
      <c r="N123" s="25">
        <f t="shared" si="171"/>
        <v>395431.1</v>
      </c>
      <c r="O123" s="75">
        <v>11197.6</v>
      </c>
      <c r="P123" s="75">
        <v>362056.5</v>
      </c>
      <c r="Q123" s="75">
        <v>22177</v>
      </c>
      <c r="R123" s="25">
        <f t="shared" si="172"/>
        <v>430953.8</v>
      </c>
      <c r="S123" s="75">
        <v>12441.8</v>
      </c>
      <c r="T123" s="75">
        <v>402285</v>
      </c>
      <c r="U123" s="75">
        <v>16227</v>
      </c>
      <c r="V123" s="59">
        <f t="shared" si="146"/>
        <v>0.996</v>
      </c>
      <c r="X123"/>
    </row>
    <row r="124" spans="1:101" ht="59.25" customHeight="1">
      <c r="A124" s="22" t="s">
        <v>72</v>
      </c>
      <c r="B124" s="45" t="s">
        <v>215</v>
      </c>
      <c r="C124" s="24" t="s">
        <v>12</v>
      </c>
      <c r="D124" s="24" t="s">
        <v>12</v>
      </c>
      <c r="E124" s="24" t="s">
        <v>12</v>
      </c>
      <c r="F124" s="26">
        <f>G124+H124+I124</f>
        <v>2832047.8</v>
      </c>
      <c r="G124" s="25">
        <f>SUM(G126:G128)</f>
        <v>216298.2</v>
      </c>
      <c r="H124" s="25">
        <f>SUM(H126:H128)</f>
        <v>2454514.5</v>
      </c>
      <c r="I124" s="103">
        <v>161235.1</v>
      </c>
      <c r="J124" s="26">
        <f t="shared" si="170"/>
        <v>874837.5</v>
      </c>
      <c r="K124" s="25">
        <f>SUM(K126:K128)</f>
        <v>154715.4</v>
      </c>
      <c r="L124" s="25">
        <f>SUM(L126:L128)</f>
        <v>600800.6</v>
      </c>
      <c r="M124" s="25">
        <v>119321.5</v>
      </c>
      <c r="N124" s="25">
        <f t="shared" si="171"/>
        <v>3085793.1</v>
      </c>
      <c r="O124" s="25">
        <f>SUM(O126:O128)</f>
        <v>940551.2</v>
      </c>
      <c r="P124" s="25">
        <f>SUM(P126:P128)</f>
        <v>2101223.7999999998</v>
      </c>
      <c r="Q124" s="104">
        <v>44018.1</v>
      </c>
      <c r="R124" s="25">
        <f t="shared" si="172"/>
        <v>88138.1</v>
      </c>
      <c r="S124" s="25">
        <f>SUM(S126:S128)</f>
        <v>44120</v>
      </c>
      <c r="T124" s="25">
        <f>SUM(T126:T128)</f>
        <v>0</v>
      </c>
      <c r="U124" s="25">
        <v>44018.1</v>
      </c>
      <c r="V124" s="35">
        <f t="shared" si="146"/>
        <v>0.309</v>
      </c>
      <c r="X124" s="89"/>
    </row>
    <row r="125" spans="1:101" ht="18.75">
      <c r="A125" s="22"/>
      <c r="B125" s="57" t="s">
        <v>15</v>
      </c>
      <c r="C125" s="58"/>
      <c r="D125" s="58"/>
      <c r="E125" s="58"/>
      <c r="F125" s="26"/>
      <c r="G125" s="25"/>
      <c r="H125" s="25"/>
      <c r="I125" s="25"/>
      <c r="J125" s="26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35"/>
    </row>
    <row r="126" spans="1:101" ht="72.75" customHeight="1">
      <c r="A126" s="22"/>
      <c r="B126" s="38" t="s">
        <v>296</v>
      </c>
      <c r="C126" s="32">
        <v>821</v>
      </c>
      <c r="D126" s="33" t="s">
        <v>19</v>
      </c>
      <c r="E126" s="32" t="s">
        <v>297</v>
      </c>
      <c r="F126" s="26">
        <f t="shared" si="136"/>
        <v>0</v>
      </c>
      <c r="G126" s="75">
        <v>0</v>
      </c>
      <c r="H126" s="75"/>
      <c r="I126" s="75"/>
      <c r="J126" s="26">
        <f t="shared" ref="J126:J129" si="173">K126+L126+M126</f>
        <v>0</v>
      </c>
      <c r="K126" s="75"/>
      <c r="L126" s="75"/>
      <c r="M126" s="75"/>
      <c r="N126" s="25">
        <f t="shared" ref="N126:N129" si="174">O126+P126+Q126</f>
        <v>0</v>
      </c>
      <c r="O126" s="75">
        <v>0</v>
      </c>
      <c r="P126" s="75"/>
      <c r="Q126" s="75"/>
      <c r="R126" s="25">
        <f t="shared" ref="R126:R129" si="175">S126+T126+U126</f>
        <v>0</v>
      </c>
      <c r="S126" s="75">
        <v>0</v>
      </c>
      <c r="T126" s="75"/>
      <c r="U126" s="75"/>
      <c r="V126" s="59" t="e">
        <f t="shared" si="146"/>
        <v>#DIV/0!</v>
      </c>
    </row>
    <row r="127" spans="1:101" ht="80.25" customHeight="1">
      <c r="A127" s="22"/>
      <c r="B127" s="38" t="s">
        <v>298</v>
      </c>
      <c r="C127" s="32">
        <v>821</v>
      </c>
      <c r="D127" s="33" t="s">
        <v>19</v>
      </c>
      <c r="E127" s="32" t="s">
        <v>156</v>
      </c>
      <c r="F127" s="26">
        <f t="shared" si="136"/>
        <v>2454514.5</v>
      </c>
      <c r="G127" s="75"/>
      <c r="H127" s="75">
        <v>2454514.5</v>
      </c>
      <c r="I127" s="75"/>
      <c r="J127" s="26">
        <f t="shared" si="173"/>
        <v>600800.6</v>
      </c>
      <c r="K127" s="75"/>
      <c r="L127" s="75">
        <v>600800.6</v>
      </c>
      <c r="M127" s="75"/>
      <c r="N127" s="25">
        <f t="shared" si="174"/>
        <v>2101223.7999999998</v>
      </c>
      <c r="O127" s="75"/>
      <c r="P127" s="75">
        <v>2101223.7999999998</v>
      </c>
      <c r="Q127" s="75"/>
      <c r="R127" s="25">
        <f t="shared" si="175"/>
        <v>0</v>
      </c>
      <c r="S127" s="75"/>
      <c r="T127" s="75"/>
      <c r="U127" s="75"/>
      <c r="V127" s="59">
        <f t="shared" ref="V127:V128" si="176">J127/F127</f>
        <v>0.245</v>
      </c>
    </row>
    <row r="128" spans="1:101" ht="67.5" customHeight="1">
      <c r="A128" s="22"/>
      <c r="B128" s="38" t="s">
        <v>107</v>
      </c>
      <c r="C128" s="32" t="s">
        <v>258</v>
      </c>
      <c r="D128" s="33" t="s">
        <v>19</v>
      </c>
      <c r="E128" s="32" t="s">
        <v>177</v>
      </c>
      <c r="F128" s="26">
        <f t="shared" ref="F128" si="177">G128+H128+I128</f>
        <v>216298.2</v>
      </c>
      <c r="G128" s="75">
        <v>216298.2</v>
      </c>
      <c r="H128" s="75"/>
      <c r="I128" s="75"/>
      <c r="J128" s="26">
        <f t="shared" ref="J128" si="178">K128+L128+M128</f>
        <v>154715.4</v>
      </c>
      <c r="K128" s="75">
        <v>154715.4</v>
      </c>
      <c r="L128" s="75"/>
      <c r="M128" s="75"/>
      <c r="N128" s="25">
        <f t="shared" ref="N128" si="179">O128+P128+Q128</f>
        <v>940551.2</v>
      </c>
      <c r="O128" s="75">
        <v>940551.2</v>
      </c>
      <c r="P128" s="75"/>
      <c r="Q128" s="75"/>
      <c r="R128" s="25">
        <f t="shared" ref="R128" si="180">S128+T128+U128</f>
        <v>44120</v>
      </c>
      <c r="S128" s="75">
        <v>44120</v>
      </c>
      <c r="T128" s="75"/>
      <c r="U128" s="75"/>
      <c r="V128" s="59">
        <f t="shared" si="176"/>
        <v>0.71499999999999997</v>
      </c>
    </row>
    <row r="129" spans="1:101" ht="27.75" customHeight="1">
      <c r="A129" s="22" t="s">
        <v>214</v>
      </c>
      <c r="B129" s="45" t="s">
        <v>333</v>
      </c>
      <c r="C129" s="58" t="s">
        <v>12</v>
      </c>
      <c r="D129" s="58" t="s">
        <v>12</v>
      </c>
      <c r="E129" s="58" t="s">
        <v>12</v>
      </c>
      <c r="F129" s="26">
        <f>G129+H129+I129</f>
        <v>197073.7</v>
      </c>
      <c r="G129" s="25">
        <f>G133+G131+G132</f>
        <v>22840.7</v>
      </c>
      <c r="H129" s="25">
        <f t="shared" ref="H129:I129" si="181">H133+H131+H132</f>
        <v>165249.1</v>
      </c>
      <c r="I129" s="25">
        <f t="shared" si="181"/>
        <v>8983.9</v>
      </c>
      <c r="J129" s="26">
        <f t="shared" si="173"/>
        <v>181245.7</v>
      </c>
      <c r="K129" s="25">
        <f>K133+K131+K132</f>
        <v>15652.6</v>
      </c>
      <c r="L129" s="25">
        <f t="shared" ref="L129:M129" si="182">L133+L131+L132</f>
        <v>161260.9</v>
      </c>
      <c r="M129" s="25">
        <f t="shared" si="182"/>
        <v>4332.2</v>
      </c>
      <c r="N129" s="25">
        <f t="shared" si="174"/>
        <v>381031.7</v>
      </c>
      <c r="O129" s="25">
        <f>O133+O131+O132</f>
        <v>9775</v>
      </c>
      <c r="P129" s="25">
        <f t="shared" ref="P129:Q129" si="183">P133+P131+P132</f>
        <v>368759.8</v>
      </c>
      <c r="Q129" s="25">
        <f t="shared" si="183"/>
        <v>2496.9</v>
      </c>
      <c r="R129" s="25">
        <f t="shared" si="175"/>
        <v>169304.7</v>
      </c>
      <c r="S129" s="25">
        <f>S133+S131+S132</f>
        <v>9775</v>
      </c>
      <c r="T129" s="25">
        <f t="shared" ref="T129:U129" si="184">T133+T131+T132</f>
        <v>159529.70000000001</v>
      </c>
      <c r="U129" s="25">
        <f t="shared" si="184"/>
        <v>0</v>
      </c>
      <c r="V129" s="27">
        <f t="shared" si="146"/>
        <v>0.92</v>
      </c>
    </row>
    <row r="130" spans="1:101" ht="18.75">
      <c r="A130" s="36"/>
      <c r="B130" s="57" t="s">
        <v>15</v>
      </c>
      <c r="C130" s="30"/>
      <c r="D130" s="39"/>
      <c r="E130" s="30"/>
      <c r="F130" s="26"/>
      <c r="G130" s="75"/>
      <c r="H130" s="75"/>
      <c r="I130" s="75"/>
      <c r="J130" s="26"/>
      <c r="K130" s="75"/>
      <c r="L130" s="75"/>
      <c r="M130" s="75"/>
      <c r="N130" s="25"/>
      <c r="O130" s="75"/>
      <c r="P130" s="75"/>
      <c r="Q130" s="75"/>
      <c r="R130" s="25"/>
      <c r="S130" s="75"/>
      <c r="T130" s="75"/>
      <c r="U130" s="75"/>
      <c r="V130" s="59"/>
    </row>
    <row r="131" spans="1:101" ht="80.25" customHeight="1">
      <c r="A131" s="36"/>
      <c r="B131" s="38" t="s">
        <v>178</v>
      </c>
      <c r="C131" s="32" t="s">
        <v>299</v>
      </c>
      <c r="D131" s="33" t="s">
        <v>82</v>
      </c>
      <c r="E131" s="32" t="s">
        <v>218</v>
      </c>
      <c r="F131" s="26">
        <f t="shared" si="136"/>
        <v>9775</v>
      </c>
      <c r="G131" s="75">
        <v>9775</v>
      </c>
      <c r="H131" s="75"/>
      <c r="I131" s="75"/>
      <c r="J131" s="26">
        <f t="shared" ref="J131:J133" si="185">K131+L131+M131</f>
        <v>9775</v>
      </c>
      <c r="K131" s="75">
        <v>9775</v>
      </c>
      <c r="L131" s="75"/>
      <c r="M131" s="75"/>
      <c r="N131" s="25">
        <f t="shared" ref="N131:N133" si="186">O131+P131+Q131</f>
        <v>9775</v>
      </c>
      <c r="O131" s="75">
        <v>9775</v>
      </c>
      <c r="P131" s="75"/>
      <c r="Q131" s="75"/>
      <c r="R131" s="25">
        <f t="shared" ref="R131:R133" si="187">S131+T131+U131</f>
        <v>9775</v>
      </c>
      <c r="S131" s="75">
        <v>9775</v>
      </c>
      <c r="T131" s="75"/>
      <c r="U131" s="75"/>
      <c r="V131" s="59">
        <f t="shared" si="146"/>
        <v>1</v>
      </c>
    </row>
    <row r="132" spans="1:101" ht="69" customHeight="1">
      <c r="A132" s="36"/>
      <c r="B132" s="85" t="s">
        <v>330</v>
      </c>
      <c r="C132" s="86">
        <v>828</v>
      </c>
      <c r="D132" s="87" t="s">
        <v>82</v>
      </c>
      <c r="E132" s="86" t="s">
        <v>331</v>
      </c>
      <c r="F132" s="25">
        <f t="shared" si="136"/>
        <v>11254</v>
      </c>
      <c r="G132" s="75">
        <v>9041.9</v>
      </c>
      <c r="H132" s="75"/>
      <c r="I132" s="75">
        <v>2212.1</v>
      </c>
      <c r="J132" s="25">
        <f t="shared" si="185"/>
        <v>2520</v>
      </c>
      <c r="K132" s="75">
        <v>1985.3</v>
      </c>
      <c r="L132" s="75"/>
      <c r="M132" s="75">
        <v>534.70000000000005</v>
      </c>
      <c r="N132" s="25">
        <f t="shared" si="186"/>
        <v>0</v>
      </c>
      <c r="O132" s="75"/>
      <c r="P132" s="75"/>
      <c r="Q132" s="75"/>
      <c r="R132" s="25">
        <f t="shared" si="187"/>
        <v>0</v>
      </c>
      <c r="S132" s="75"/>
      <c r="T132" s="75"/>
      <c r="U132" s="75"/>
      <c r="V132" s="59">
        <f t="shared" si="146"/>
        <v>0.224</v>
      </c>
    </row>
    <row r="133" spans="1:101" ht="69" customHeight="1">
      <c r="A133" s="36"/>
      <c r="B133" s="38" t="s">
        <v>81</v>
      </c>
      <c r="C133" s="32" t="s">
        <v>299</v>
      </c>
      <c r="D133" s="33" t="s">
        <v>82</v>
      </c>
      <c r="E133" s="32" t="s">
        <v>217</v>
      </c>
      <c r="F133" s="26">
        <f t="shared" si="136"/>
        <v>176044.7</v>
      </c>
      <c r="G133" s="75">
        <v>4023.8</v>
      </c>
      <c r="H133" s="75">
        <v>165249.1</v>
      </c>
      <c r="I133" s="75">
        <v>6771.8</v>
      </c>
      <c r="J133" s="26">
        <f t="shared" si="185"/>
        <v>168950.7</v>
      </c>
      <c r="K133" s="75">
        <v>3892.3</v>
      </c>
      <c r="L133" s="75">
        <v>161260.9</v>
      </c>
      <c r="M133" s="75">
        <v>3797.5</v>
      </c>
      <c r="N133" s="25">
        <f t="shared" si="186"/>
        <v>371256.7</v>
      </c>
      <c r="O133" s="75">
        <v>0</v>
      </c>
      <c r="P133" s="75">
        <v>368759.8</v>
      </c>
      <c r="Q133" s="75">
        <v>2496.9</v>
      </c>
      <c r="R133" s="25">
        <f t="shared" si="187"/>
        <v>159529.70000000001</v>
      </c>
      <c r="S133" s="75">
        <v>0</v>
      </c>
      <c r="T133" s="75">
        <v>159529.70000000001</v>
      </c>
      <c r="U133" s="75"/>
      <c r="V133" s="59">
        <f t="shared" si="146"/>
        <v>0.96</v>
      </c>
    </row>
    <row r="134" spans="1:101" s="62" customFormat="1" ht="28.5" customHeight="1">
      <c r="A134" s="17" t="s">
        <v>73</v>
      </c>
      <c r="B134" s="18" t="s">
        <v>74</v>
      </c>
      <c r="C134" s="19" t="s">
        <v>12</v>
      </c>
      <c r="D134" s="19" t="s">
        <v>12</v>
      </c>
      <c r="E134" s="19" t="s">
        <v>12</v>
      </c>
      <c r="F134" s="42">
        <f t="shared" si="136"/>
        <v>42149.4</v>
      </c>
      <c r="G134" s="42">
        <f>G135+G140+G143</f>
        <v>11749.5</v>
      </c>
      <c r="H134" s="42">
        <f>H135+H140+H143</f>
        <v>20483.5</v>
      </c>
      <c r="I134" s="42">
        <f>I135+I140+I143</f>
        <v>9916.4</v>
      </c>
      <c r="J134" s="42">
        <f t="shared" ref="J134:J135" si="188">K134+L134+M134</f>
        <v>21979.599999999999</v>
      </c>
      <c r="K134" s="42">
        <f>K135+K140+K143</f>
        <v>1122.0999999999999</v>
      </c>
      <c r="L134" s="42">
        <f>L135+L140+L143</f>
        <v>20483.5</v>
      </c>
      <c r="M134" s="42">
        <f>M135+M140+M143</f>
        <v>374</v>
      </c>
      <c r="N134" s="42">
        <f t="shared" ref="N134:N135" si="189">O134+P134+Q134</f>
        <v>148159.6</v>
      </c>
      <c r="O134" s="42">
        <f>O135+O140+O143</f>
        <v>12210</v>
      </c>
      <c r="P134" s="42">
        <f>P135+P140+P143</f>
        <v>123722.7</v>
      </c>
      <c r="Q134" s="42">
        <f>Q135+Q140+Q143</f>
        <v>12226.9</v>
      </c>
      <c r="R134" s="42">
        <f t="shared" ref="R134:R135" si="190">S134+T134+U134</f>
        <v>154447.79999999999</v>
      </c>
      <c r="S134" s="42">
        <f>S135+S140+S143</f>
        <v>10726.2</v>
      </c>
      <c r="T134" s="42">
        <f>T135+T140+T143</f>
        <v>143721.60000000001</v>
      </c>
      <c r="U134" s="42">
        <f>U135+U140+U143</f>
        <v>0</v>
      </c>
      <c r="V134" s="43">
        <f t="shared" si="146"/>
        <v>0.52100000000000002</v>
      </c>
      <c r="W134" s="2"/>
      <c r="X134" s="16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</row>
    <row r="135" spans="1:101" ht="18.75">
      <c r="A135" s="9" t="s">
        <v>75</v>
      </c>
      <c r="B135" s="23" t="s">
        <v>76</v>
      </c>
      <c r="C135" s="34" t="s">
        <v>12</v>
      </c>
      <c r="D135" s="34" t="s">
        <v>12</v>
      </c>
      <c r="E135" s="34" t="s">
        <v>12</v>
      </c>
      <c r="F135" s="26">
        <f t="shared" si="136"/>
        <v>9383.7999999999993</v>
      </c>
      <c r="G135" s="25">
        <f>SUM(G137:G138)</f>
        <v>0</v>
      </c>
      <c r="H135" s="25">
        <f>SUM(H137:H138)</f>
        <v>9383.7999999999993</v>
      </c>
      <c r="I135" s="25">
        <f>SUM(I137:I138)</f>
        <v>0</v>
      </c>
      <c r="J135" s="26">
        <f t="shared" si="188"/>
        <v>9383.7999999999993</v>
      </c>
      <c r="K135" s="25">
        <f>SUM(K137:K138)</f>
        <v>0</v>
      </c>
      <c r="L135" s="25">
        <f>SUM(L137:L138)</f>
        <v>9383.7999999999993</v>
      </c>
      <c r="M135" s="25">
        <f>SUM(M137:M138)</f>
        <v>0</v>
      </c>
      <c r="N135" s="25">
        <f t="shared" si="189"/>
        <v>16009.3</v>
      </c>
      <c r="O135" s="25">
        <f>SUM(O137:O138)</f>
        <v>0</v>
      </c>
      <c r="P135" s="25">
        <f>SUM(P137:P138)</f>
        <v>16009.3</v>
      </c>
      <c r="Q135" s="25">
        <f>SUM(Q137:Q138)</f>
        <v>0</v>
      </c>
      <c r="R135" s="25">
        <f t="shared" si="190"/>
        <v>34938.6</v>
      </c>
      <c r="S135" s="25">
        <f>SUM(S137:S138)</f>
        <v>0</v>
      </c>
      <c r="T135" s="25">
        <f>SUM(T137:T138)</f>
        <v>34938.6</v>
      </c>
      <c r="U135" s="25">
        <f>SUM(U137:U138)</f>
        <v>0</v>
      </c>
      <c r="V135" s="35">
        <f t="shared" si="146"/>
        <v>1</v>
      </c>
    </row>
    <row r="136" spans="1:101" ht="18.75">
      <c r="A136" s="12"/>
      <c r="B136" s="29" t="s">
        <v>15</v>
      </c>
      <c r="C136" s="53"/>
      <c r="D136" s="53"/>
      <c r="E136" s="53"/>
      <c r="F136" s="26"/>
      <c r="G136" s="25"/>
      <c r="H136" s="25"/>
      <c r="I136" s="25"/>
      <c r="J136" s="2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35"/>
    </row>
    <row r="137" spans="1:101" ht="54.75" customHeight="1">
      <c r="A137" s="36"/>
      <c r="B137" s="84" t="s">
        <v>77</v>
      </c>
      <c r="C137" s="32" t="s">
        <v>300</v>
      </c>
      <c r="D137" s="33" t="s">
        <v>78</v>
      </c>
      <c r="E137" s="32" t="s">
        <v>157</v>
      </c>
      <c r="F137" s="26">
        <f t="shared" ref="F137:F181" si="191">G137+H137+I137</f>
        <v>5996.6</v>
      </c>
      <c r="G137" s="75"/>
      <c r="H137" s="75">
        <v>5996.6</v>
      </c>
      <c r="I137" s="75"/>
      <c r="J137" s="26">
        <f t="shared" ref="J137:J138" si="192">K137+L137+M137</f>
        <v>5996.6</v>
      </c>
      <c r="K137" s="75"/>
      <c r="L137" s="75">
        <v>5996.6</v>
      </c>
      <c r="M137" s="75"/>
      <c r="N137" s="25">
        <f t="shared" ref="N137:N138" si="193">O137+P137+Q137</f>
        <v>6257</v>
      </c>
      <c r="O137" s="75"/>
      <c r="P137" s="75">
        <v>6257</v>
      </c>
      <c r="Q137" s="75"/>
      <c r="R137" s="25">
        <f t="shared" ref="R137:R138" si="194">S137+T137+U137</f>
        <v>6244.8</v>
      </c>
      <c r="S137" s="75"/>
      <c r="T137" s="75">
        <v>6244.8</v>
      </c>
      <c r="U137" s="75"/>
      <c r="V137" s="59">
        <f t="shared" ref="V137:V181" si="195">J137/F137</f>
        <v>1</v>
      </c>
    </row>
    <row r="138" spans="1:101" ht="90" customHeight="1">
      <c r="A138" s="36"/>
      <c r="B138" s="38" t="s">
        <v>79</v>
      </c>
      <c r="C138" s="32" t="s">
        <v>300</v>
      </c>
      <c r="D138" s="33" t="s">
        <v>78</v>
      </c>
      <c r="E138" s="32" t="s">
        <v>158</v>
      </c>
      <c r="F138" s="26">
        <f t="shared" si="191"/>
        <v>3387.2</v>
      </c>
      <c r="G138" s="75"/>
      <c r="H138" s="75">
        <v>3387.2</v>
      </c>
      <c r="I138" s="75"/>
      <c r="J138" s="26">
        <f t="shared" si="192"/>
        <v>3387.2</v>
      </c>
      <c r="K138" s="75"/>
      <c r="L138" s="75">
        <v>3387.2</v>
      </c>
      <c r="M138" s="75"/>
      <c r="N138" s="25">
        <f t="shared" si="193"/>
        <v>9752.2999999999993</v>
      </c>
      <c r="O138" s="75"/>
      <c r="P138" s="75">
        <v>9752.2999999999993</v>
      </c>
      <c r="Q138" s="75"/>
      <c r="R138" s="25">
        <f t="shared" si="194"/>
        <v>28693.8</v>
      </c>
      <c r="S138" s="75"/>
      <c r="T138" s="75">
        <v>28693.8</v>
      </c>
      <c r="U138" s="75"/>
      <c r="V138" s="59">
        <f t="shared" si="195"/>
        <v>1</v>
      </c>
    </row>
    <row r="139" spans="1:101" ht="18.75">
      <c r="A139" s="36"/>
      <c r="B139" s="37" t="s">
        <v>15</v>
      </c>
      <c r="C139" s="30"/>
      <c r="D139" s="30"/>
      <c r="E139" s="30"/>
      <c r="F139" s="26"/>
      <c r="G139" s="25"/>
      <c r="H139" s="25"/>
      <c r="I139" s="25"/>
      <c r="J139" s="26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35"/>
    </row>
    <row r="140" spans="1:101" ht="38.25" customHeight="1">
      <c r="A140" s="22" t="s">
        <v>80</v>
      </c>
      <c r="B140" s="45" t="s">
        <v>301</v>
      </c>
      <c r="C140" s="24" t="s">
        <v>12</v>
      </c>
      <c r="D140" s="24" t="s">
        <v>12</v>
      </c>
      <c r="E140" s="24" t="s">
        <v>12</v>
      </c>
      <c r="F140" s="26">
        <f t="shared" si="191"/>
        <v>3590</v>
      </c>
      <c r="G140" s="25">
        <f>G142</f>
        <v>0</v>
      </c>
      <c r="H140" s="25">
        <f t="shared" ref="H140:I140" si="196">H142</f>
        <v>3590</v>
      </c>
      <c r="I140" s="25">
        <f t="shared" si="196"/>
        <v>0</v>
      </c>
      <c r="J140" s="25">
        <f t="shared" ref="J140" si="197">K140+L140+M140</f>
        <v>3590</v>
      </c>
      <c r="K140" s="25">
        <f>+K142</f>
        <v>0</v>
      </c>
      <c r="L140" s="25">
        <f>L142</f>
        <v>3590</v>
      </c>
      <c r="M140" s="25">
        <f t="shared" ref="M140" si="198">+M142</f>
        <v>0</v>
      </c>
      <c r="N140" s="25">
        <f t="shared" ref="N140" si="199">O140+P140+Q140</f>
        <v>26000</v>
      </c>
      <c r="O140" s="25">
        <f>O142</f>
        <v>0</v>
      </c>
      <c r="P140" s="25">
        <f t="shared" ref="P140:Q140" si="200">P142</f>
        <v>26000</v>
      </c>
      <c r="Q140" s="25">
        <f t="shared" si="200"/>
        <v>0</v>
      </c>
      <c r="R140" s="25">
        <f t="shared" ref="R140" si="201">S140+T140+U140</f>
        <v>37000</v>
      </c>
      <c r="S140" s="25">
        <f>S142</f>
        <v>0</v>
      </c>
      <c r="T140" s="25">
        <f t="shared" ref="T140:U140" si="202">T142</f>
        <v>37000</v>
      </c>
      <c r="U140" s="25">
        <f t="shared" si="202"/>
        <v>0</v>
      </c>
      <c r="V140" s="27">
        <f t="shared" si="195"/>
        <v>1</v>
      </c>
    </row>
    <row r="141" spans="1:101" ht="18.75">
      <c r="A141" s="36"/>
      <c r="B141" s="37" t="s">
        <v>15</v>
      </c>
      <c r="C141" s="30"/>
      <c r="D141" s="30"/>
      <c r="E141" s="30"/>
      <c r="F141" s="26"/>
      <c r="G141" s="25"/>
      <c r="H141" s="25"/>
      <c r="I141" s="25"/>
      <c r="J141" s="26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7"/>
    </row>
    <row r="142" spans="1:101" ht="74.25" customHeight="1">
      <c r="A142" s="36"/>
      <c r="B142" s="38" t="s">
        <v>226</v>
      </c>
      <c r="C142" s="32">
        <v>810</v>
      </c>
      <c r="D142" s="33" t="s">
        <v>84</v>
      </c>
      <c r="E142" s="32" t="s">
        <v>227</v>
      </c>
      <c r="F142" s="26">
        <f t="shared" si="191"/>
        <v>3590</v>
      </c>
      <c r="G142" s="25"/>
      <c r="H142" s="25">
        <v>3590</v>
      </c>
      <c r="I142" s="25"/>
      <c r="J142" s="26">
        <f t="shared" ref="J142" si="203">K142+L142+M142</f>
        <v>3590</v>
      </c>
      <c r="K142" s="25"/>
      <c r="L142" s="25">
        <v>3590</v>
      </c>
      <c r="M142" s="25"/>
      <c r="N142" s="25">
        <f t="shared" ref="N142:N143" si="204">O142+P142+Q142</f>
        <v>26000</v>
      </c>
      <c r="O142" s="25"/>
      <c r="P142" s="75">
        <v>26000</v>
      </c>
      <c r="Q142" s="25"/>
      <c r="R142" s="25">
        <f t="shared" ref="R142:R143" si="205">S142+T142+U142</f>
        <v>37000</v>
      </c>
      <c r="S142" s="25"/>
      <c r="T142" s="75">
        <v>37000</v>
      </c>
      <c r="U142" s="75"/>
      <c r="V142" s="27">
        <f t="shared" si="195"/>
        <v>1</v>
      </c>
    </row>
    <row r="143" spans="1:101" s="6" customFormat="1" ht="26.25" customHeight="1">
      <c r="A143" s="22" t="s">
        <v>83</v>
      </c>
      <c r="B143" s="45" t="s">
        <v>160</v>
      </c>
      <c r="C143" s="58" t="s">
        <v>12</v>
      </c>
      <c r="D143" s="8" t="s">
        <v>12</v>
      </c>
      <c r="E143" s="58" t="s">
        <v>12</v>
      </c>
      <c r="F143" s="26">
        <f>G143+H143+I143</f>
        <v>29175.599999999999</v>
      </c>
      <c r="G143" s="25">
        <f>G145+G146</f>
        <v>11749.5</v>
      </c>
      <c r="H143" s="25">
        <f>H145+H146</f>
        <v>7509.7</v>
      </c>
      <c r="I143" s="25">
        <f>I145+I146</f>
        <v>9916.4</v>
      </c>
      <c r="J143" s="26">
        <f>K143+L143+M143</f>
        <v>9005.7999999999993</v>
      </c>
      <c r="K143" s="25">
        <f>K146+K145</f>
        <v>1122.0999999999999</v>
      </c>
      <c r="L143" s="25">
        <f>L146+L145</f>
        <v>7509.7</v>
      </c>
      <c r="M143" s="25">
        <f>M146+M145</f>
        <v>374</v>
      </c>
      <c r="N143" s="26">
        <f t="shared" si="204"/>
        <v>106150.3</v>
      </c>
      <c r="O143" s="25">
        <f>O146+O145</f>
        <v>12210</v>
      </c>
      <c r="P143" s="25">
        <f>P146+P145</f>
        <v>81713.399999999994</v>
      </c>
      <c r="Q143" s="25">
        <f>Q146+Q145</f>
        <v>12226.9</v>
      </c>
      <c r="R143" s="26">
        <f t="shared" si="205"/>
        <v>82509.2</v>
      </c>
      <c r="S143" s="25">
        <f>S146+S145</f>
        <v>10726.2</v>
      </c>
      <c r="T143" s="25">
        <f>T146+T145</f>
        <v>71783</v>
      </c>
      <c r="U143" s="25">
        <f>U146+U145</f>
        <v>0</v>
      </c>
      <c r="V143" s="35">
        <f t="shared" si="195"/>
        <v>0.309</v>
      </c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</row>
    <row r="144" spans="1:101" ht="18.75">
      <c r="A144" s="36"/>
      <c r="B144" s="37" t="s">
        <v>15</v>
      </c>
      <c r="C144" s="30"/>
      <c r="D144" s="39"/>
      <c r="E144" s="30"/>
      <c r="F144" s="26"/>
      <c r="G144" s="25"/>
      <c r="H144" s="25"/>
      <c r="I144" s="25"/>
      <c r="J144" s="26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35"/>
    </row>
    <row r="145" spans="1:101" ht="82.5">
      <c r="A145" s="36"/>
      <c r="B145" s="57" t="s">
        <v>384</v>
      </c>
      <c r="C145" s="32" t="s">
        <v>382</v>
      </c>
      <c r="D145" s="39" t="s">
        <v>84</v>
      </c>
      <c r="E145" s="32" t="s">
        <v>383</v>
      </c>
      <c r="F145" s="26">
        <f>G145+H145+I145</f>
        <v>19954.400000000001</v>
      </c>
      <c r="G145" s="25">
        <v>10412</v>
      </c>
      <c r="H145" s="25"/>
      <c r="I145" s="25">
        <v>9542.4</v>
      </c>
      <c r="J145" s="26">
        <f>K145+L145+M145</f>
        <v>0</v>
      </c>
      <c r="K145" s="25"/>
      <c r="L145" s="25"/>
      <c r="M145" s="25">
        <v>0</v>
      </c>
      <c r="N145" s="25">
        <f>O145+P145+Q145</f>
        <v>8156.9</v>
      </c>
      <c r="O145" s="25"/>
      <c r="P145" s="25"/>
      <c r="Q145" s="25">
        <v>8156.9</v>
      </c>
      <c r="R145" s="25">
        <f>S145+T145+U145</f>
        <v>0</v>
      </c>
      <c r="S145" s="25"/>
      <c r="T145" s="25"/>
      <c r="U145" s="25">
        <v>0</v>
      </c>
      <c r="V145" s="59">
        <f>J145/F145</f>
        <v>0</v>
      </c>
    </row>
    <row r="146" spans="1:101" ht="75.75" customHeight="1">
      <c r="A146" s="36"/>
      <c r="B146" s="38" t="s">
        <v>162</v>
      </c>
      <c r="C146" s="32">
        <v>810</v>
      </c>
      <c r="D146" s="33" t="s">
        <v>84</v>
      </c>
      <c r="E146" s="32" t="s">
        <v>161</v>
      </c>
      <c r="F146" s="26">
        <f t="shared" si="191"/>
        <v>9221.2000000000007</v>
      </c>
      <c r="G146" s="75">
        <v>1337.5</v>
      </c>
      <c r="H146" s="75">
        <v>7509.7</v>
      </c>
      <c r="I146" s="75">
        <v>374</v>
      </c>
      <c r="J146" s="26">
        <f t="shared" ref="J146:J153" si="206">K146+L146+M146</f>
        <v>9005.7999999999993</v>
      </c>
      <c r="K146" s="75">
        <v>1122.0999999999999</v>
      </c>
      <c r="L146" s="75">
        <v>7509.7</v>
      </c>
      <c r="M146" s="75">
        <v>374</v>
      </c>
      <c r="N146" s="25">
        <f t="shared" ref="N146:N148" si="207">O146+P146+Q146</f>
        <v>97993.4</v>
      </c>
      <c r="O146" s="75">
        <v>12210</v>
      </c>
      <c r="P146" s="75">
        <v>81713.399999999994</v>
      </c>
      <c r="Q146" s="75">
        <v>4070</v>
      </c>
      <c r="R146" s="25">
        <f t="shared" ref="R146:R148" si="208">S146+T146+U146</f>
        <v>82509.2</v>
      </c>
      <c r="S146" s="75">
        <v>10726.2</v>
      </c>
      <c r="T146" s="75">
        <v>71783</v>
      </c>
      <c r="U146" s="75">
        <v>0</v>
      </c>
      <c r="V146" s="59">
        <f t="shared" si="195"/>
        <v>0.97699999999999998</v>
      </c>
    </row>
    <row r="147" spans="1:101" s="62" customFormat="1" ht="39" customHeight="1">
      <c r="A147" s="17" t="s">
        <v>85</v>
      </c>
      <c r="B147" s="56" t="s">
        <v>342</v>
      </c>
      <c r="C147" s="19" t="s">
        <v>12</v>
      </c>
      <c r="D147" s="19" t="s">
        <v>12</v>
      </c>
      <c r="E147" s="19" t="s">
        <v>12</v>
      </c>
      <c r="F147" s="42">
        <f t="shared" si="191"/>
        <v>6406197.0999999996</v>
      </c>
      <c r="G147" s="42">
        <f>G148+G159+G155</f>
        <v>3780629.3</v>
      </c>
      <c r="H147" s="42">
        <f>H148+H159+H155</f>
        <v>2352445.9</v>
      </c>
      <c r="I147" s="42">
        <f>I148+I159+I155</f>
        <v>273121.90000000002</v>
      </c>
      <c r="J147" s="42">
        <f t="shared" si="206"/>
        <v>6368273.7999999998</v>
      </c>
      <c r="K147" s="42">
        <f>K148+K159+K155</f>
        <v>3761141.4</v>
      </c>
      <c r="L147" s="42">
        <f>L148+L159+L155</f>
        <v>2334425.6</v>
      </c>
      <c r="M147" s="42">
        <f>M148+M159+M155</f>
        <v>272706.8</v>
      </c>
      <c r="N147" s="42">
        <f t="shared" si="207"/>
        <v>6308034.2999999998</v>
      </c>
      <c r="O147" s="42">
        <f>O148+O159+O155</f>
        <v>2759673.1</v>
      </c>
      <c r="P147" s="42">
        <f>P148+P159+P155</f>
        <v>3485108</v>
      </c>
      <c r="Q147" s="42">
        <f>Q148+Q159+Q155</f>
        <v>63253.2</v>
      </c>
      <c r="R147" s="42">
        <f t="shared" si="208"/>
        <v>8239147.5999999996</v>
      </c>
      <c r="S147" s="42">
        <f>S148+S159+S155</f>
        <v>4151290.8</v>
      </c>
      <c r="T147" s="42">
        <f>T148+T159+T155</f>
        <v>4024856.8</v>
      </c>
      <c r="U147" s="42">
        <f>U148+U159+U155</f>
        <v>63000</v>
      </c>
      <c r="V147" s="43">
        <f t="shared" si="195"/>
        <v>0.99399999999999999</v>
      </c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</row>
    <row r="148" spans="1:101" ht="48.75" customHeight="1">
      <c r="A148" s="9" t="s">
        <v>87</v>
      </c>
      <c r="B148" s="23" t="s">
        <v>307</v>
      </c>
      <c r="C148" s="54" t="s">
        <v>12</v>
      </c>
      <c r="D148" s="54" t="s">
        <v>12</v>
      </c>
      <c r="E148" s="54" t="s">
        <v>12</v>
      </c>
      <c r="F148" s="26">
        <f t="shared" si="191"/>
        <v>5992679.5</v>
      </c>
      <c r="G148" s="25">
        <f>SUM(G150:G154)</f>
        <v>3503093.2</v>
      </c>
      <c r="H148" s="25">
        <f t="shared" ref="H148:I148" si="209">SUM(H150:H154)</f>
        <v>2216464.4</v>
      </c>
      <c r="I148" s="25">
        <f t="shared" si="209"/>
        <v>273121.90000000002</v>
      </c>
      <c r="J148" s="26">
        <f t="shared" si="206"/>
        <v>5992264.4000000004</v>
      </c>
      <c r="K148" s="25">
        <f>SUM(K150:K154)</f>
        <v>3503093.2</v>
      </c>
      <c r="L148" s="25">
        <f t="shared" ref="L148:M148" si="210">SUM(L150:L154)</f>
        <v>2216464.4</v>
      </c>
      <c r="M148" s="25">
        <f t="shared" si="210"/>
        <v>272706.8</v>
      </c>
      <c r="N148" s="25">
        <f t="shared" si="207"/>
        <v>5898424</v>
      </c>
      <c r="O148" s="25">
        <f>SUM(O150:O154)</f>
        <v>2505477.6</v>
      </c>
      <c r="P148" s="25">
        <f t="shared" ref="P148:Q148" si="211">SUM(P150:P154)</f>
        <v>3329693.2</v>
      </c>
      <c r="Q148" s="25">
        <f t="shared" si="211"/>
        <v>63253.2</v>
      </c>
      <c r="R148" s="25">
        <f t="shared" si="208"/>
        <v>7859352.7999999998</v>
      </c>
      <c r="S148" s="25">
        <f>SUM(S150:S154)</f>
        <v>3926910.8</v>
      </c>
      <c r="T148" s="25">
        <f t="shared" ref="T148:U148" si="212">SUM(T150:T154)</f>
        <v>3869442</v>
      </c>
      <c r="U148" s="25">
        <f t="shared" si="212"/>
        <v>63000</v>
      </c>
      <c r="V148" s="27">
        <f t="shared" si="195"/>
        <v>1</v>
      </c>
    </row>
    <row r="149" spans="1:101" ht="18.75">
      <c r="A149" s="12"/>
      <c r="B149" s="29" t="s">
        <v>15</v>
      </c>
      <c r="C149" s="53"/>
      <c r="D149" s="53"/>
      <c r="E149" s="53"/>
      <c r="F149" s="25"/>
      <c r="G149" s="25"/>
      <c r="H149" s="25"/>
      <c r="I149" s="25"/>
      <c r="J149" s="26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35"/>
    </row>
    <row r="150" spans="1:101" ht="81" customHeight="1">
      <c r="A150" s="36"/>
      <c r="B150" s="38" t="s">
        <v>302</v>
      </c>
      <c r="C150" s="33" t="s">
        <v>306</v>
      </c>
      <c r="D150" s="33" t="s">
        <v>88</v>
      </c>
      <c r="E150" s="32" t="s">
        <v>304</v>
      </c>
      <c r="F150" s="26">
        <f t="shared" si="191"/>
        <v>604201.6</v>
      </c>
      <c r="G150" s="25"/>
      <c r="H150" s="25">
        <v>604201.6</v>
      </c>
      <c r="I150" s="25"/>
      <c r="J150" s="26">
        <f t="shared" si="206"/>
        <v>604201.6</v>
      </c>
      <c r="K150" s="25"/>
      <c r="L150" s="25">
        <v>604201.6</v>
      </c>
      <c r="M150" s="25"/>
      <c r="N150" s="25">
        <f t="shared" ref="N150:N153" si="213">O150+P150+Q150</f>
        <v>684615.7</v>
      </c>
      <c r="O150" s="25"/>
      <c r="P150" s="25">
        <v>684615.7</v>
      </c>
      <c r="Q150" s="25"/>
      <c r="R150" s="25">
        <f t="shared" ref="R150:R154" si="214">S150+T150+U150</f>
        <v>0</v>
      </c>
      <c r="S150" s="25"/>
      <c r="T150" s="25"/>
      <c r="U150" s="25"/>
      <c r="V150" s="59">
        <f t="shared" si="195"/>
        <v>1</v>
      </c>
    </row>
    <row r="151" spans="1:101" ht="69.75" customHeight="1">
      <c r="A151" s="36"/>
      <c r="B151" s="38" t="s">
        <v>355</v>
      </c>
      <c r="C151" s="33" t="s">
        <v>306</v>
      </c>
      <c r="D151" s="33" t="s">
        <v>88</v>
      </c>
      <c r="E151" s="32" t="s">
        <v>356</v>
      </c>
      <c r="F151" s="26">
        <f t="shared" si="191"/>
        <v>509414.5</v>
      </c>
      <c r="G151" s="25"/>
      <c r="H151" s="25">
        <v>509414.5</v>
      </c>
      <c r="I151" s="25"/>
      <c r="J151" s="26">
        <f t="shared" si="206"/>
        <v>509414.5</v>
      </c>
      <c r="K151" s="25"/>
      <c r="L151" s="25">
        <v>509414.5</v>
      </c>
      <c r="M151" s="25"/>
      <c r="N151" s="25">
        <f t="shared" si="213"/>
        <v>0</v>
      </c>
      <c r="O151" s="25"/>
      <c r="P151" s="25"/>
      <c r="Q151" s="25"/>
      <c r="R151" s="25">
        <f t="shared" si="214"/>
        <v>0</v>
      </c>
      <c r="S151" s="25"/>
      <c r="T151" s="25"/>
      <c r="U151" s="25"/>
      <c r="V151" s="59">
        <f t="shared" si="195"/>
        <v>1</v>
      </c>
    </row>
    <row r="152" spans="1:101" ht="56.25" customHeight="1">
      <c r="A152" s="36"/>
      <c r="B152" s="38" t="s">
        <v>253</v>
      </c>
      <c r="C152" s="33" t="s">
        <v>257</v>
      </c>
      <c r="D152" s="33" t="s">
        <v>17</v>
      </c>
      <c r="E152" s="32" t="s">
        <v>159</v>
      </c>
      <c r="F152" s="26">
        <f t="shared" si="191"/>
        <v>0</v>
      </c>
      <c r="G152" s="25">
        <f>367.5-367.5</f>
        <v>0</v>
      </c>
      <c r="H152" s="25"/>
      <c r="I152" s="25"/>
      <c r="J152" s="26">
        <f t="shared" si="206"/>
        <v>0</v>
      </c>
      <c r="K152" s="25"/>
      <c r="L152" s="25"/>
      <c r="M152" s="25"/>
      <c r="N152" s="25">
        <f t="shared" si="213"/>
        <v>0</v>
      </c>
      <c r="O152" s="25">
        <f>367.5-367.5</f>
        <v>0</v>
      </c>
      <c r="P152" s="25"/>
      <c r="Q152" s="25"/>
      <c r="R152" s="25">
        <f t="shared" si="214"/>
        <v>0</v>
      </c>
      <c r="S152" s="25">
        <f>367.5-367.5</f>
        <v>0</v>
      </c>
      <c r="T152" s="25"/>
      <c r="U152" s="25"/>
      <c r="V152" s="59" t="e">
        <f t="shared" si="195"/>
        <v>#DIV/0!</v>
      </c>
    </row>
    <row r="153" spans="1:101" ht="69" customHeight="1">
      <c r="A153" s="36"/>
      <c r="B153" s="38" t="s">
        <v>253</v>
      </c>
      <c r="C153" s="33" t="s">
        <v>306</v>
      </c>
      <c r="D153" s="33" t="s">
        <v>88</v>
      </c>
      <c r="E153" s="32" t="s">
        <v>159</v>
      </c>
      <c r="F153" s="26">
        <f t="shared" si="191"/>
        <v>779229</v>
      </c>
      <c r="G153" s="25">
        <v>506229</v>
      </c>
      <c r="H153" s="25"/>
      <c r="I153" s="25">
        <v>273000</v>
      </c>
      <c r="J153" s="26">
        <f t="shared" si="206"/>
        <v>778813.9</v>
      </c>
      <c r="K153" s="25">
        <v>506229</v>
      </c>
      <c r="L153" s="25"/>
      <c r="M153" s="25">
        <v>272584.90000000002</v>
      </c>
      <c r="N153" s="25">
        <f t="shared" si="213"/>
        <v>157015</v>
      </c>
      <c r="O153" s="25">
        <v>94015</v>
      </c>
      <c r="P153" s="25"/>
      <c r="Q153" s="25">
        <v>63000</v>
      </c>
      <c r="R153" s="25">
        <f t="shared" si="214"/>
        <v>157015</v>
      </c>
      <c r="S153" s="25">
        <v>94015</v>
      </c>
      <c r="T153" s="25"/>
      <c r="U153" s="25">
        <v>63000</v>
      </c>
      <c r="V153" s="59">
        <f t="shared" si="195"/>
        <v>0.999</v>
      </c>
    </row>
    <row r="154" spans="1:101" ht="74.25" customHeight="1">
      <c r="A154" s="36"/>
      <c r="B154" s="38" t="s">
        <v>303</v>
      </c>
      <c r="C154" s="33" t="s">
        <v>306</v>
      </c>
      <c r="D154" s="33" t="s">
        <v>88</v>
      </c>
      <c r="E154" s="32" t="s">
        <v>305</v>
      </c>
      <c r="F154" s="26">
        <f t="shared" si="191"/>
        <v>4099834.4</v>
      </c>
      <c r="G154" s="75">
        <v>2996864.2</v>
      </c>
      <c r="H154" s="75">
        <v>1102848.3</v>
      </c>
      <c r="I154" s="75">
        <v>121.9</v>
      </c>
      <c r="J154" s="26">
        <f t="shared" ref="J154:J155" si="215">K154+L154+M154</f>
        <v>4099834.4</v>
      </c>
      <c r="K154" s="75">
        <v>2996864.2</v>
      </c>
      <c r="L154" s="75">
        <v>1102848.3</v>
      </c>
      <c r="M154" s="75">
        <v>121.9</v>
      </c>
      <c r="N154" s="25">
        <f t="shared" ref="N154:N155" si="216">O154+P154+Q154</f>
        <v>5056793.3</v>
      </c>
      <c r="O154" s="75">
        <v>2411462.6</v>
      </c>
      <c r="P154" s="75">
        <v>2645077.5</v>
      </c>
      <c r="Q154" s="75">
        <v>253.2</v>
      </c>
      <c r="R154" s="25">
        <f t="shared" si="214"/>
        <v>7702337.7999999998</v>
      </c>
      <c r="S154" s="75">
        <v>3832895.8</v>
      </c>
      <c r="T154" s="75">
        <v>3869442</v>
      </c>
      <c r="U154" s="75"/>
      <c r="V154" s="59">
        <f t="shared" si="195"/>
        <v>1</v>
      </c>
    </row>
    <row r="155" spans="1:101" ht="36.75" customHeight="1">
      <c r="A155" s="9" t="s">
        <v>180</v>
      </c>
      <c r="B155" s="23" t="s">
        <v>308</v>
      </c>
      <c r="C155" s="34" t="s">
        <v>12</v>
      </c>
      <c r="D155" s="34" t="s">
        <v>12</v>
      </c>
      <c r="E155" s="34" t="s">
        <v>12</v>
      </c>
      <c r="F155" s="25">
        <f t="shared" si="191"/>
        <v>218049.8</v>
      </c>
      <c r="G155" s="25">
        <f>SUM(G157:G158)</f>
        <v>82068.3</v>
      </c>
      <c r="H155" s="25">
        <f>SUM(H157:H158)</f>
        <v>135981.5</v>
      </c>
      <c r="I155" s="25">
        <f>SUM(I157:I158)</f>
        <v>0</v>
      </c>
      <c r="J155" s="25">
        <f t="shared" si="215"/>
        <v>191436.7</v>
      </c>
      <c r="K155" s="25">
        <f>SUM(K157:K158)</f>
        <v>73475.5</v>
      </c>
      <c r="L155" s="25">
        <f>SUM(L157:L158)</f>
        <v>117961.2</v>
      </c>
      <c r="M155" s="25">
        <f>SUM(M157:M158)</f>
        <v>0</v>
      </c>
      <c r="N155" s="25">
        <f t="shared" si="216"/>
        <v>237414.8</v>
      </c>
      <c r="O155" s="25">
        <f>SUM(O157:O158)</f>
        <v>82000</v>
      </c>
      <c r="P155" s="25">
        <f>SUM(P157:P158)</f>
        <v>155414.79999999999</v>
      </c>
      <c r="Q155" s="25">
        <f>SUM(Q157:Q158)</f>
        <v>0</v>
      </c>
      <c r="R155" s="25">
        <f t="shared" ref="R155" si="217">S155+T155+U155</f>
        <v>205414.8</v>
      </c>
      <c r="S155" s="25">
        <f>SUM(S157:S158)</f>
        <v>50000</v>
      </c>
      <c r="T155" s="25">
        <f>SUM(T157:T158)</f>
        <v>155414.79999999999</v>
      </c>
      <c r="U155" s="25">
        <f>SUM(U157:U158)</f>
        <v>0</v>
      </c>
      <c r="V155" s="27">
        <f t="shared" si="195"/>
        <v>0.878</v>
      </c>
    </row>
    <row r="156" spans="1:101" ht="18.75">
      <c r="A156" s="12"/>
      <c r="B156" s="29" t="s">
        <v>15</v>
      </c>
      <c r="C156" s="53"/>
      <c r="D156" s="53"/>
      <c r="E156" s="53"/>
      <c r="F156" s="26"/>
      <c r="G156" s="75"/>
      <c r="H156" s="75"/>
      <c r="I156" s="75"/>
      <c r="J156" s="26"/>
      <c r="K156" s="75"/>
      <c r="L156" s="75"/>
      <c r="M156" s="75"/>
      <c r="N156" s="25"/>
      <c r="O156" s="75"/>
      <c r="P156" s="75"/>
      <c r="Q156" s="75"/>
      <c r="R156" s="25"/>
      <c r="S156" s="75"/>
      <c r="T156" s="75"/>
      <c r="U156" s="75"/>
      <c r="V156" s="59"/>
    </row>
    <row r="157" spans="1:101" ht="71.25" customHeight="1">
      <c r="A157" s="36"/>
      <c r="B157" s="38" t="s">
        <v>253</v>
      </c>
      <c r="C157" s="32" t="s">
        <v>306</v>
      </c>
      <c r="D157" s="33" t="s">
        <v>88</v>
      </c>
      <c r="E157" s="32" t="s">
        <v>216</v>
      </c>
      <c r="F157" s="26">
        <f t="shared" si="191"/>
        <v>66644.600000000006</v>
      </c>
      <c r="G157" s="75">
        <v>66644.600000000006</v>
      </c>
      <c r="H157" s="75"/>
      <c r="I157" s="75"/>
      <c r="J157" s="26">
        <f t="shared" ref="J157:J159" si="218">K157+L157+M157</f>
        <v>58051.8</v>
      </c>
      <c r="K157" s="75">
        <v>58051.8</v>
      </c>
      <c r="L157" s="75"/>
      <c r="M157" s="75"/>
      <c r="N157" s="25">
        <f t="shared" ref="N157:N159" si="219">O157+P157+Q157</f>
        <v>82000</v>
      </c>
      <c r="O157" s="75">
        <f>42000+40000</f>
        <v>82000</v>
      </c>
      <c r="P157" s="75"/>
      <c r="Q157" s="75"/>
      <c r="R157" s="25">
        <f t="shared" ref="R157:R159" si="220">S157+T157+U157</f>
        <v>50000</v>
      </c>
      <c r="S157" s="75">
        <v>50000</v>
      </c>
      <c r="T157" s="75"/>
      <c r="U157" s="75"/>
      <c r="V157" s="59">
        <f t="shared" si="195"/>
        <v>0.871</v>
      </c>
    </row>
    <row r="158" spans="1:101" ht="85.5" customHeight="1">
      <c r="A158" s="36"/>
      <c r="B158" s="38" t="s">
        <v>184</v>
      </c>
      <c r="C158" s="32" t="s">
        <v>306</v>
      </c>
      <c r="D158" s="33" t="s">
        <v>88</v>
      </c>
      <c r="E158" s="32" t="s">
        <v>183</v>
      </c>
      <c r="F158" s="26">
        <f t="shared" si="191"/>
        <v>151405.20000000001</v>
      </c>
      <c r="G158" s="75">
        <v>15423.7</v>
      </c>
      <c r="H158" s="75">
        <v>135981.5</v>
      </c>
      <c r="I158" s="75"/>
      <c r="J158" s="26">
        <f t="shared" si="218"/>
        <v>133384.9</v>
      </c>
      <c r="K158" s="75">
        <v>15423.7</v>
      </c>
      <c r="L158" s="75">
        <v>117961.2</v>
      </c>
      <c r="M158" s="75"/>
      <c r="N158" s="25">
        <f t="shared" si="219"/>
        <v>155414.79999999999</v>
      </c>
      <c r="O158" s="75"/>
      <c r="P158" s="75">
        <v>155414.79999999999</v>
      </c>
      <c r="Q158" s="75"/>
      <c r="R158" s="25">
        <f t="shared" si="220"/>
        <v>155414.79999999999</v>
      </c>
      <c r="S158" s="75"/>
      <c r="T158" s="75">
        <v>155414.79999999999</v>
      </c>
      <c r="U158" s="75"/>
      <c r="V158" s="59">
        <f t="shared" si="195"/>
        <v>0.88100000000000001</v>
      </c>
    </row>
    <row r="159" spans="1:101" s="6" customFormat="1" ht="38.25" customHeight="1">
      <c r="A159" s="22" t="s">
        <v>189</v>
      </c>
      <c r="B159" s="45" t="s">
        <v>309</v>
      </c>
      <c r="C159" s="24" t="s">
        <v>12</v>
      </c>
      <c r="D159" s="24" t="s">
        <v>12</v>
      </c>
      <c r="E159" s="24" t="s">
        <v>12</v>
      </c>
      <c r="F159" s="26">
        <f t="shared" si="191"/>
        <v>195467.8</v>
      </c>
      <c r="G159" s="25">
        <f>SUM(G161:G163)</f>
        <v>195467.8</v>
      </c>
      <c r="H159" s="25">
        <f>SUM(H161:H163)</f>
        <v>0</v>
      </c>
      <c r="I159" s="25">
        <f>SUM(I161:I163)</f>
        <v>0</v>
      </c>
      <c r="J159" s="26">
        <f t="shared" si="218"/>
        <v>184572.7</v>
      </c>
      <c r="K159" s="25">
        <f>SUM(K161:K163)</f>
        <v>184572.7</v>
      </c>
      <c r="L159" s="25">
        <f>SUM(L161:L163)</f>
        <v>0</v>
      </c>
      <c r="M159" s="25">
        <f>SUM(M161:M163)</f>
        <v>0</v>
      </c>
      <c r="N159" s="26">
        <f t="shared" si="219"/>
        <v>172195.5</v>
      </c>
      <c r="O159" s="25">
        <f>SUM(O161:O163)</f>
        <v>172195.5</v>
      </c>
      <c r="P159" s="25">
        <f>SUM(P161:P163)</f>
        <v>0</v>
      </c>
      <c r="Q159" s="25">
        <f>SUM(Q161:Q163)</f>
        <v>0</v>
      </c>
      <c r="R159" s="26">
        <f t="shared" si="220"/>
        <v>174380</v>
      </c>
      <c r="S159" s="25">
        <f>SUM(S161:S163)</f>
        <v>174380</v>
      </c>
      <c r="T159" s="25">
        <f>SUM(T161:T163)</f>
        <v>0</v>
      </c>
      <c r="U159" s="25">
        <f>SUM(U161:U163)</f>
        <v>0</v>
      </c>
      <c r="V159" s="35">
        <f t="shared" si="195"/>
        <v>0.94399999999999995</v>
      </c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</row>
    <row r="160" spans="1:101" ht="22.5" customHeight="1">
      <c r="A160" s="12"/>
      <c r="B160" s="29" t="s">
        <v>15</v>
      </c>
      <c r="C160" s="53"/>
      <c r="D160" s="53"/>
      <c r="E160" s="53"/>
      <c r="F160" s="26"/>
      <c r="G160" s="25"/>
      <c r="H160" s="25"/>
      <c r="I160" s="25"/>
      <c r="J160" s="26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35"/>
    </row>
    <row r="161" spans="1:101" ht="56.25" customHeight="1">
      <c r="A161" s="36"/>
      <c r="B161" s="38" t="s">
        <v>253</v>
      </c>
      <c r="C161" s="32" t="s">
        <v>280</v>
      </c>
      <c r="D161" s="33" t="s">
        <v>48</v>
      </c>
      <c r="E161" s="32" t="s">
        <v>179</v>
      </c>
      <c r="F161" s="26">
        <f t="shared" si="191"/>
        <v>3012.5</v>
      </c>
      <c r="G161" s="75">
        <v>3012.5</v>
      </c>
      <c r="H161" s="75"/>
      <c r="I161" s="75"/>
      <c r="J161" s="26">
        <f t="shared" ref="J161:J165" si="221">K161+L161+M161</f>
        <v>2984</v>
      </c>
      <c r="K161" s="75">
        <v>2984</v>
      </c>
      <c r="L161" s="75"/>
      <c r="M161" s="75"/>
      <c r="N161" s="25">
        <f t="shared" ref="N161:N165" si="222">O161+P161+Q161</f>
        <v>3012.5</v>
      </c>
      <c r="O161" s="75">
        <v>3012.5</v>
      </c>
      <c r="P161" s="75"/>
      <c r="Q161" s="75"/>
      <c r="R161" s="25">
        <f t="shared" ref="R161:R165" si="223">S161+T161+U161</f>
        <v>3012.5</v>
      </c>
      <c r="S161" s="75">
        <v>3012.5</v>
      </c>
      <c r="T161" s="75"/>
      <c r="U161" s="75"/>
      <c r="V161" s="59">
        <f t="shared" si="195"/>
        <v>0.99099999999999999</v>
      </c>
    </row>
    <row r="162" spans="1:101" ht="58.5" customHeight="1">
      <c r="A162" s="36"/>
      <c r="B162" s="38" t="s">
        <v>253</v>
      </c>
      <c r="C162" s="32">
        <v>811</v>
      </c>
      <c r="D162" s="33" t="s">
        <v>17</v>
      </c>
      <c r="E162" s="32" t="s">
        <v>179</v>
      </c>
      <c r="F162" s="26">
        <f t="shared" si="191"/>
        <v>367.5</v>
      </c>
      <c r="G162" s="75">
        <v>367.5</v>
      </c>
      <c r="H162" s="75"/>
      <c r="I162" s="75"/>
      <c r="J162" s="26">
        <f t="shared" si="221"/>
        <v>365.8</v>
      </c>
      <c r="K162" s="75">
        <v>365.8</v>
      </c>
      <c r="L162" s="75"/>
      <c r="M162" s="75"/>
      <c r="N162" s="25">
        <f t="shared" si="222"/>
        <v>367.5</v>
      </c>
      <c r="O162" s="75">
        <v>367.5</v>
      </c>
      <c r="P162" s="75"/>
      <c r="Q162" s="75"/>
      <c r="R162" s="25">
        <f t="shared" si="223"/>
        <v>367.5</v>
      </c>
      <c r="S162" s="75">
        <v>367.5</v>
      </c>
      <c r="T162" s="75"/>
      <c r="U162" s="75"/>
      <c r="V162" s="59">
        <f t="shared" si="195"/>
        <v>0.995</v>
      </c>
    </row>
    <row r="163" spans="1:101" ht="69.75" customHeight="1">
      <c r="A163" s="36"/>
      <c r="B163" s="38" t="s">
        <v>253</v>
      </c>
      <c r="C163" s="32" t="s">
        <v>306</v>
      </c>
      <c r="D163" s="33" t="s">
        <v>88</v>
      </c>
      <c r="E163" s="32" t="s">
        <v>179</v>
      </c>
      <c r="F163" s="26">
        <f t="shared" si="191"/>
        <v>192087.8</v>
      </c>
      <c r="G163" s="75">
        <v>192087.8</v>
      </c>
      <c r="H163" s="75"/>
      <c r="I163" s="75"/>
      <c r="J163" s="26">
        <f t="shared" si="221"/>
        <v>181222.9</v>
      </c>
      <c r="K163" s="75">
        <v>181222.9</v>
      </c>
      <c r="L163" s="75"/>
      <c r="M163" s="75"/>
      <c r="N163" s="25">
        <f t="shared" si="222"/>
        <v>168815.5</v>
      </c>
      <c r="O163" s="75">
        <v>168815.5</v>
      </c>
      <c r="P163" s="75"/>
      <c r="Q163" s="75"/>
      <c r="R163" s="25">
        <f t="shared" si="223"/>
        <v>171000</v>
      </c>
      <c r="S163" s="75">
        <v>171000</v>
      </c>
      <c r="T163" s="75"/>
      <c r="U163" s="75"/>
      <c r="V163" s="59">
        <f t="shared" si="195"/>
        <v>0.94299999999999995</v>
      </c>
    </row>
    <row r="164" spans="1:101" s="62" customFormat="1" ht="28.5" customHeight="1">
      <c r="A164" s="17" t="s">
        <v>89</v>
      </c>
      <c r="B164" s="18" t="s">
        <v>90</v>
      </c>
      <c r="C164" s="19" t="s">
        <v>12</v>
      </c>
      <c r="D164" s="19" t="s">
        <v>12</v>
      </c>
      <c r="E164" s="19" t="s">
        <v>12</v>
      </c>
      <c r="F164" s="42">
        <f>G164+H164+I164</f>
        <v>173806</v>
      </c>
      <c r="G164" s="42">
        <f>G165+G177+G182</f>
        <v>33939.599999999999</v>
      </c>
      <c r="H164" s="42">
        <f t="shared" ref="H164" si="224">H165+H177+H182</f>
        <v>130494.5</v>
      </c>
      <c r="I164" s="42">
        <f>I165+I177+I182</f>
        <v>9371.9</v>
      </c>
      <c r="J164" s="42">
        <f t="shared" si="221"/>
        <v>154834.4</v>
      </c>
      <c r="K164" s="42">
        <f>K165+K177+K182</f>
        <v>31392.7</v>
      </c>
      <c r="L164" s="42">
        <f t="shared" ref="L164:M164" si="225">L165+L177+L182</f>
        <v>114159.3</v>
      </c>
      <c r="M164" s="42">
        <f t="shared" si="225"/>
        <v>9282.4</v>
      </c>
      <c r="N164" s="42">
        <f t="shared" si="222"/>
        <v>261417.1</v>
      </c>
      <c r="O164" s="42">
        <f>O165+O177+O182</f>
        <v>51211.8</v>
      </c>
      <c r="P164" s="42">
        <f t="shared" ref="P164:Q164" si="226">P165+P177+P182</f>
        <v>209029.5</v>
      </c>
      <c r="Q164" s="42">
        <f t="shared" si="226"/>
        <v>1175.8</v>
      </c>
      <c r="R164" s="42">
        <f t="shared" si="223"/>
        <v>356103.3</v>
      </c>
      <c r="S164" s="42">
        <f>S165+S177+S182</f>
        <v>26726</v>
      </c>
      <c r="T164" s="42">
        <f t="shared" ref="T164:U164" si="227">T165+T177+T182</f>
        <v>329335.59999999998</v>
      </c>
      <c r="U164" s="42">
        <f t="shared" si="227"/>
        <v>41.7</v>
      </c>
      <c r="V164" s="43">
        <f t="shared" si="195"/>
        <v>0.89100000000000001</v>
      </c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</row>
    <row r="165" spans="1:101" ht="35.25" customHeight="1">
      <c r="A165" s="9" t="s">
        <v>91</v>
      </c>
      <c r="B165" s="23" t="s">
        <v>92</v>
      </c>
      <c r="C165" s="34" t="s">
        <v>12</v>
      </c>
      <c r="D165" s="34" t="s">
        <v>12</v>
      </c>
      <c r="E165" s="34" t="s">
        <v>12</v>
      </c>
      <c r="F165" s="26">
        <f t="shared" si="191"/>
        <v>153612.29999999999</v>
      </c>
      <c r="G165" s="25">
        <f>SUM(G167:G176)</f>
        <v>20745.900000000001</v>
      </c>
      <c r="H165" s="25">
        <f t="shared" ref="H165:I165" si="228">SUM(H167:H176)</f>
        <v>123494.5</v>
      </c>
      <c r="I165" s="25">
        <f t="shared" si="228"/>
        <v>9371.9</v>
      </c>
      <c r="J165" s="26">
        <f t="shared" si="221"/>
        <v>134640.70000000001</v>
      </c>
      <c r="K165" s="25">
        <f>SUM(K167:K176)</f>
        <v>18199</v>
      </c>
      <c r="L165" s="25">
        <f t="shared" ref="L165" si="229">SUM(L167:L176)</f>
        <v>107159.3</v>
      </c>
      <c r="M165" s="25">
        <f>SUM(M167:M176)</f>
        <v>9282.4</v>
      </c>
      <c r="N165" s="25">
        <f t="shared" si="222"/>
        <v>258881.2</v>
      </c>
      <c r="O165" s="25">
        <f>SUM(O167:O176)</f>
        <v>50017.599999999999</v>
      </c>
      <c r="P165" s="25">
        <f t="shared" ref="P165:Q165" si="230">SUM(P167:P176)</f>
        <v>207729.5</v>
      </c>
      <c r="Q165" s="25">
        <f t="shared" si="230"/>
        <v>1134.0999999999999</v>
      </c>
      <c r="R165" s="25">
        <f t="shared" si="223"/>
        <v>340567.4</v>
      </c>
      <c r="S165" s="25">
        <f>SUM(S167:S176)</f>
        <v>12531.8</v>
      </c>
      <c r="T165" s="25">
        <f t="shared" ref="T165:U165" si="231">SUM(T167:T176)</f>
        <v>328035.59999999998</v>
      </c>
      <c r="U165" s="25">
        <f t="shared" si="231"/>
        <v>0</v>
      </c>
      <c r="V165" s="35">
        <f t="shared" si="195"/>
        <v>0.876</v>
      </c>
    </row>
    <row r="166" spans="1:101" ht="18.75">
      <c r="A166" s="12"/>
      <c r="B166" s="29" t="s">
        <v>15</v>
      </c>
      <c r="C166" s="53"/>
      <c r="D166" s="53"/>
      <c r="E166" s="53"/>
      <c r="F166" s="26"/>
      <c r="G166" s="25"/>
      <c r="H166" s="25"/>
      <c r="I166" s="25"/>
      <c r="J166" s="26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35"/>
    </row>
    <row r="167" spans="1:101" ht="71.25" customHeight="1">
      <c r="A167" s="36"/>
      <c r="B167" s="38" t="s">
        <v>225</v>
      </c>
      <c r="C167" s="33" t="s">
        <v>314</v>
      </c>
      <c r="D167" s="33" t="s">
        <v>93</v>
      </c>
      <c r="E167" s="32" t="s">
        <v>145</v>
      </c>
      <c r="F167" s="26">
        <f t="shared" si="191"/>
        <v>15764.5</v>
      </c>
      <c r="G167" s="25"/>
      <c r="H167" s="25">
        <v>10000</v>
      </c>
      <c r="I167" s="25">
        <v>5764.5</v>
      </c>
      <c r="J167" s="26">
        <f t="shared" ref="J167:J176" si="232">K167+L167+M167</f>
        <v>15764.5</v>
      </c>
      <c r="K167" s="25"/>
      <c r="L167" s="25">
        <v>10000</v>
      </c>
      <c r="M167" s="25">
        <v>5764.5</v>
      </c>
      <c r="N167" s="26">
        <f t="shared" ref="N167:N176" si="233">O167+P167+Q167</f>
        <v>0</v>
      </c>
      <c r="O167" s="25"/>
      <c r="P167" s="25">
        <v>0</v>
      </c>
      <c r="Q167" s="25"/>
      <c r="R167" s="26">
        <f t="shared" ref="R167:R176" si="234">S167+T167+U167</f>
        <v>0</v>
      </c>
      <c r="S167" s="25"/>
      <c r="T167" s="25">
        <v>0</v>
      </c>
      <c r="U167" s="25"/>
      <c r="V167" s="59">
        <f t="shared" si="195"/>
        <v>1</v>
      </c>
    </row>
    <row r="168" spans="1:101" ht="68.25" customHeight="1">
      <c r="A168" s="36"/>
      <c r="B168" s="38" t="s">
        <v>147</v>
      </c>
      <c r="C168" s="32" t="s">
        <v>273</v>
      </c>
      <c r="D168" s="33" t="s">
        <v>146</v>
      </c>
      <c r="E168" s="32" t="s">
        <v>148</v>
      </c>
      <c r="F168" s="26">
        <f t="shared" si="191"/>
        <v>0</v>
      </c>
      <c r="G168" s="75">
        <v>0</v>
      </c>
      <c r="H168" s="75">
        <v>0</v>
      </c>
      <c r="I168" s="75"/>
      <c r="J168" s="26">
        <f t="shared" si="232"/>
        <v>0</v>
      </c>
      <c r="K168" s="75"/>
      <c r="L168" s="75"/>
      <c r="M168" s="75"/>
      <c r="N168" s="26">
        <f t="shared" si="233"/>
        <v>185886.1</v>
      </c>
      <c r="O168" s="75">
        <v>5576.6</v>
      </c>
      <c r="P168" s="75">
        <v>180309.5</v>
      </c>
      <c r="Q168" s="75"/>
      <c r="R168" s="26">
        <f t="shared" si="234"/>
        <v>307054.2</v>
      </c>
      <c r="S168" s="75">
        <v>9211.6</v>
      </c>
      <c r="T168" s="75">
        <v>297842.59999999998</v>
      </c>
      <c r="U168" s="75"/>
      <c r="V168" s="59" t="e">
        <f t="shared" si="195"/>
        <v>#DIV/0!</v>
      </c>
    </row>
    <row r="169" spans="1:101" ht="66.75" customHeight="1">
      <c r="A169" s="36"/>
      <c r="B169" s="38" t="s">
        <v>310</v>
      </c>
      <c r="C169" s="32" t="s">
        <v>258</v>
      </c>
      <c r="D169" s="33" t="s">
        <v>19</v>
      </c>
      <c r="E169" s="32" t="s">
        <v>312</v>
      </c>
      <c r="F169" s="26">
        <f t="shared" si="191"/>
        <v>36284.6</v>
      </c>
      <c r="G169" s="75">
        <v>4481</v>
      </c>
      <c r="H169" s="75">
        <v>29988</v>
      </c>
      <c r="I169" s="75">
        <v>1815.6</v>
      </c>
      <c r="J169" s="26">
        <f t="shared" si="232"/>
        <v>34521.699999999997</v>
      </c>
      <c r="K169" s="75">
        <v>4263.3999999999996</v>
      </c>
      <c r="L169" s="75">
        <v>28532.2</v>
      </c>
      <c r="M169" s="75">
        <v>1726.1</v>
      </c>
      <c r="N169" s="26">
        <f t="shared" si="233"/>
        <v>0</v>
      </c>
      <c r="O169" s="75">
        <v>0</v>
      </c>
      <c r="P169" s="75">
        <v>0</v>
      </c>
      <c r="Q169" s="75"/>
      <c r="R169" s="26">
        <f t="shared" si="234"/>
        <v>12782.2</v>
      </c>
      <c r="S169" s="75">
        <v>1661.7</v>
      </c>
      <c r="T169" s="75">
        <v>11120.5</v>
      </c>
      <c r="U169" s="75"/>
      <c r="V169" s="59">
        <f t="shared" si="195"/>
        <v>0.95099999999999996</v>
      </c>
    </row>
    <row r="170" spans="1:101" ht="66.75" customHeight="1">
      <c r="A170" s="36"/>
      <c r="B170" s="38" t="s">
        <v>149</v>
      </c>
      <c r="C170" s="32" t="s">
        <v>258</v>
      </c>
      <c r="D170" s="33" t="s">
        <v>19</v>
      </c>
      <c r="E170" s="32" t="s">
        <v>150</v>
      </c>
      <c r="F170" s="26">
        <f t="shared" ref="F170:F171" si="235">G170+H170+I170</f>
        <v>72864.600000000006</v>
      </c>
      <c r="G170" s="75">
        <v>9322.9</v>
      </c>
      <c r="H170" s="75">
        <v>62391.7</v>
      </c>
      <c r="I170" s="75">
        <v>1150</v>
      </c>
      <c r="J170" s="26">
        <f t="shared" ref="J170:J171" si="236">K170+L170+M170</f>
        <v>55761.8</v>
      </c>
      <c r="K170" s="75">
        <v>7099.5</v>
      </c>
      <c r="L170" s="75">
        <v>47512.3</v>
      </c>
      <c r="M170" s="75">
        <v>1150</v>
      </c>
      <c r="N170" s="26">
        <f t="shared" ref="N170:N171" si="237">O170+P170+Q170</f>
        <v>44531.7</v>
      </c>
      <c r="O170" s="75">
        <v>43397.599999999999</v>
      </c>
      <c r="P170" s="75">
        <v>0</v>
      </c>
      <c r="Q170" s="75">
        <v>1134.0999999999999</v>
      </c>
      <c r="R170" s="26">
        <f t="shared" ref="R170:R171" si="238">S170+T170+U170</f>
        <v>0</v>
      </c>
      <c r="S170" s="75">
        <v>0</v>
      </c>
      <c r="T170" s="75">
        <v>0</v>
      </c>
      <c r="U170" s="75"/>
      <c r="V170" s="59">
        <f t="shared" si="195"/>
        <v>0.76500000000000001</v>
      </c>
    </row>
    <row r="171" spans="1:101" ht="66.75" customHeight="1">
      <c r="A171" s="36"/>
      <c r="B171" s="38" t="s">
        <v>375</v>
      </c>
      <c r="C171" s="32">
        <v>821</v>
      </c>
      <c r="D171" s="33" t="s">
        <v>19</v>
      </c>
      <c r="E171" s="32" t="s">
        <v>374</v>
      </c>
      <c r="F171" s="26">
        <f t="shared" si="235"/>
        <v>105.9</v>
      </c>
      <c r="G171" s="75">
        <v>105.9</v>
      </c>
      <c r="H171" s="75"/>
      <c r="I171" s="75"/>
      <c r="J171" s="26">
        <f t="shared" si="236"/>
        <v>0</v>
      </c>
      <c r="K171" s="75"/>
      <c r="L171" s="75"/>
      <c r="M171" s="75"/>
      <c r="N171" s="26">
        <f t="shared" si="237"/>
        <v>0</v>
      </c>
      <c r="O171" s="75"/>
      <c r="P171" s="75"/>
      <c r="Q171" s="75"/>
      <c r="R171" s="26">
        <f t="shared" si="238"/>
        <v>0</v>
      </c>
      <c r="S171" s="75"/>
      <c r="T171" s="75"/>
      <c r="U171" s="75"/>
      <c r="V171" s="59">
        <f t="shared" si="195"/>
        <v>0</v>
      </c>
    </row>
    <row r="172" spans="1:101" ht="70.5" customHeight="1">
      <c r="A172" s="36"/>
      <c r="B172" s="38" t="s">
        <v>207</v>
      </c>
      <c r="C172" s="32" t="s">
        <v>314</v>
      </c>
      <c r="D172" s="33" t="s">
        <v>93</v>
      </c>
      <c r="E172" s="32" t="s">
        <v>206</v>
      </c>
      <c r="F172" s="26">
        <f t="shared" si="191"/>
        <v>23592.7</v>
      </c>
      <c r="G172" s="75">
        <v>1836.1</v>
      </c>
      <c r="H172" s="75">
        <v>21114.799999999999</v>
      </c>
      <c r="I172" s="75">
        <v>641.79999999999995</v>
      </c>
      <c r="J172" s="26">
        <f t="shared" si="232"/>
        <v>23592.7</v>
      </c>
      <c r="K172" s="75">
        <v>1836.1</v>
      </c>
      <c r="L172" s="75">
        <v>21114.799999999999</v>
      </c>
      <c r="M172" s="75">
        <v>641.79999999999995</v>
      </c>
      <c r="N172" s="26">
        <f t="shared" si="233"/>
        <v>0</v>
      </c>
      <c r="O172" s="75">
        <v>0</v>
      </c>
      <c r="P172" s="75">
        <v>0</v>
      </c>
      <c r="Q172" s="75"/>
      <c r="R172" s="26">
        <f t="shared" si="234"/>
        <v>20731</v>
      </c>
      <c r="S172" s="75">
        <v>1658.5</v>
      </c>
      <c r="T172" s="75">
        <v>19072.5</v>
      </c>
      <c r="U172" s="75"/>
      <c r="V172" s="59">
        <f t="shared" si="195"/>
        <v>1</v>
      </c>
    </row>
    <row r="173" spans="1:101" ht="52.5" customHeight="1">
      <c r="A173" s="36"/>
      <c r="B173" s="38" t="s">
        <v>209</v>
      </c>
      <c r="C173" s="32" t="s">
        <v>314</v>
      </c>
      <c r="D173" s="33" t="s">
        <v>93</v>
      </c>
      <c r="E173" s="32" t="s">
        <v>208</v>
      </c>
      <c r="F173" s="26">
        <f t="shared" ref="F173:F174" si="239">G173+H173+I173</f>
        <v>0</v>
      </c>
      <c r="G173" s="75">
        <v>0</v>
      </c>
      <c r="H173" s="75">
        <v>0</v>
      </c>
      <c r="I173" s="75"/>
      <c r="J173" s="26">
        <f t="shared" ref="J173:J174" si="240">K173+L173+M173</f>
        <v>0</v>
      </c>
      <c r="K173" s="75"/>
      <c r="L173" s="75"/>
      <c r="M173" s="75"/>
      <c r="N173" s="26">
        <f t="shared" ref="N173:N174" si="241">O173+P173+Q173</f>
        <v>18989.7</v>
      </c>
      <c r="O173" s="75">
        <v>569.70000000000005</v>
      </c>
      <c r="P173" s="75">
        <v>18420</v>
      </c>
      <c r="Q173" s="75"/>
      <c r="R173" s="26">
        <f t="shared" ref="R173:R174" si="242">S173+T173+U173</f>
        <v>0</v>
      </c>
      <c r="S173" s="75">
        <v>0</v>
      </c>
      <c r="T173" s="75">
        <v>0</v>
      </c>
      <c r="U173" s="75"/>
      <c r="V173" s="59" t="e">
        <f t="shared" si="195"/>
        <v>#DIV/0!</v>
      </c>
    </row>
    <row r="174" spans="1:101" ht="64.5" customHeight="1">
      <c r="A174" s="36"/>
      <c r="B174" s="38" t="s">
        <v>361</v>
      </c>
      <c r="C174" s="32">
        <v>821</v>
      </c>
      <c r="D174" s="33" t="s">
        <v>19</v>
      </c>
      <c r="E174" s="32" t="s">
        <v>362</v>
      </c>
      <c r="F174" s="26">
        <f t="shared" si="239"/>
        <v>0</v>
      </c>
      <c r="G174" s="75"/>
      <c r="H174" s="75"/>
      <c r="I174" s="75"/>
      <c r="J174" s="26">
        <f t="shared" si="240"/>
        <v>0</v>
      </c>
      <c r="K174" s="75"/>
      <c r="L174" s="75"/>
      <c r="M174" s="75"/>
      <c r="N174" s="26">
        <f t="shared" si="241"/>
        <v>0</v>
      </c>
      <c r="O174" s="75"/>
      <c r="P174" s="75"/>
      <c r="Q174" s="75"/>
      <c r="R174" s="26">
        <f t="shared" si="242"/>
        <v>0</v>
      </c>
      <c r="S174" s="75"/>
      <c r="T174" s="75"/>
      <c r="U174" s="75"/>
      <c r="V174" s="59" t="e">
        <f t="shared" si="195"/>
        <v>#DIV/0!</v>
      </c>
    </row>
    <row r="175" spans="1:101" ht="55.5" customHeight="1">
      <c r="A175" s="36"/>
      <c r="B175" s="38" t="s">
        <v>311</v>
      </c>
      <c r="C175" s="32" t="s">
        <v>314</v>
      </c>
      <c r="D175" s="33" t="s">
        <v>93</v>
      </c>
      <c r="E175" s="32" t="s">
        <v>313</v>
      </c>
      <c r="F175" s="26">
        <f t="shared" si="191"/>
        <v>0</v>
      </c>
      <c r="G175" s="75">
        <v>0</v>
      </c>
      <c r="H175" s="75">
        <v>0</v>
      </c>
      <c r="I175" s="75"/>
      <c r="J175" s="26">
        <f t="shared" si="232"/>
        <v>0</v>
      </c>
      <c r="K175" s="75"/>
      <c r="L175" s="75"/>
      <c r="M175" s="75"/>
      <c r="N175" s="26">
        <f t="shared" si="233"/>
        <v>9473.7000000000007</v>
      </c>
      <c r="O175" s="75">
        <v>473.7</v>
      </c>
      <c r="P175" s="75">
        <v>9000</v>
      </c>
      <c r="Q175" s="75"/>
      <c r="R175" s="26">
        <f t="shared" si="234"/>
        <v>0</v>
      </c>
      <c r="S175" s="75">
        <v>0</v>
      </c>
      <c r="T175" s="75">
        <v>0</v>
      </c>
      <c r="U175" s="75"/>
      <c r="V175" s="59" t="e">
        <f t="shared" si="195"/>
        <v>#DIV/0!</v>
      </c>
    </row>
    <row r="176" spans="1:101" ht="57.75" customHeight="1">
      <c r="A176" s="36"/>
      <c r="B176" s="38" t="s">
        <v>363</v>
      </c>
      <c r="C176" s="32">
        <v>814</v>
      </c>
      <c r="D176" s="87" t="s">
        <v>93</v>
      </c>
      <c r="E176" s="32" t="s">
        <v>364</v>
      </c>
      <c r="F176" s="26">
        <f t="shared" si="191"/>
        <v>5000</v>
      </c>
      <c r="G176" s="75">
        <v>5000</v>
      </c>
      <c r="H176" s="75"/>
      <c r="I176" s="75"/>
      <c r="J176" s="26">
        <f t="shared" si="232"/>
        <v>5000</v>
      </c>
      <c r="K176" s="75">
        <v>5000</v>
      </c>
      <c r="L176" s="75"/>
      <c r="M176" s="75"/>
      <c r="N176" s="26">
        <f t="shared" si="233"/>
        <v>0</v>
      </c>
      <c r="O176" s="75"/>
      <c r="P176" s="75"/>
      <c r="Q176" s="75"/>
      <c r="R176" s="26">
        <f t="shared" si="234"/>
        <v>0</v>
      </c>
      <c r="S176" s="75"/>
      <c r="T176" s="75"/>
      <c r="U176" s="75"/>
      <c r="V176" s="59">
        <f t="shared" si="195"/>
        <v>1</v>
      </c>
    </row>
    <row r="177" spans="1:101" ht="18.75">
      <c r="A177" s="22" t="s">
        <v>94</v>
      </c>
      <c r="B177" s="45" t="s">
        <v>95</v>
      </c>
      <c r="C177" s="58" t="s">
        <v>12</v>
      </c>
      <c r="D177" s="58" t="s">
        <v>12</v>
      </c>
      <c r="E177" s="58" t="s">
        <v>12</v>
      </c>
      <c r="F177" s="26">
        <f t="shared" si="191"/>
        <v>14493.7</v>
      </c>
      <c r="G177" s="25">
        <f>SUM(G179:G181)</f>
        <v>13193.7</v>
      </c>
      <c r="H177" s="25">
        <f>SUM(H179:H181)</f>
        <v>1300</v>
      </c>
      <c r="I177" s="25">
        <f>SUM(I179:I181)</f>
        <v>0</v>
      </c>
      <c r="J177" s="26">
        <f t="shared" ref="J177" si="243">K177+L177+M177</f>
        <v>14493.7</v>
      </c>
      <c r="K177" s="25">
        <f>SUM(K179:K181)</f>
        <v>13193.7</v>
      </c>
      <c r="L177" s="25">
        <f>SUM(L179:L181)</f>
        <v>1300</v>
      </c>
      <c r="M177" s="25">
        <f>SUM(M179:M181)</f>
        <v>0</v>
      </c>
      <c r="N177" s="26">
        <f t="shared" ref="N177" si="244">O177+P177+Q177</f>
        <v>2535.9</v>
      </c>
      <c r="O177" s="25">
        <f>SUM(O179:O181)</f>
        <v>1194.2</v>
      </c>
      <c r="P177" s="25">
        <f>SUM(P179:P181)</f>
        <v>1300</v>
      </c>
      <c r="Q177" s="25">
        <f>SUM(Q179:Q181)</f>
        <v>41.7</v>
      </c>
      <c r="R177" s="26">
        <f t="shared" ref="R177" si="245">S177+T177+U177</f>
        <v>15535.9</v>
      </c>
      <c r="S177" s="25">
        <f>SUM(S179:S181)</f>
        <v>14194.2</v>
      </c>
      <c r="T177" s="25">
        <f>SUM(T179:T181)</f>
        <v>1300</v>
      </c>
      <c r="U177" s="25">
        <f>SUM(U179:U181)</f>
        <v>41.7</v>
      </c>
      <c r="V177" s="35">
        <f t="shared" si="195"/>
        <v>1</v>
      </c>
    </row>
    <row r="178" spans="1:101" ht="18.75">
      <c r="A178" s="36"/>
      <c r="B178" s="57" t="s">
        <v>15</v>
      </c>
      <c r="C178" s="30"/>
      <c r="D178" s="39"/>
      <c r="E178" s="30"/>
      <c r="F178" s="26"/>
      <c r="G178" s="25"/>
      <c r="H178" s="25"/>
      <c r="I178" s="25"/>
      <c r="J178" s="26"/>
      <c r="K178" s="25"/>
      <c r="L178" s="25"/>
      <c r="M178" s="25"/>
      <c r="N178" s="26"/>
      <c r="O178" s="25"/>
      <c r="P178" s="25"/>
      <c r="Q178" s="25"/>
      <c r="R178" s="26"/>
      <c r="S178" s="25"/>
      <c r="T178" s="25"/>
      <c r="U178" s="25"/>
      <c r="V178" s="35"/>
    </row>
    <row r="179" spans="1:101" ht="49.5">
      <c r="A179" s="36"/>
      <c r="B179" s="38" t="s">
        <v>96</v>
      </c>
      <c r="C179" s="32" t="s">
        <v>314</v>
      </c>
      <c r="D179" s="33" t="s">
        <v>93</v>
      </c>
      <c r="E179" s="32" t="s">
        <v>170</v>
      </c>
      <c r="F179" s="26">
        <f t="shared" si="191"/>
        <v>12999.5</v>
      </c>
      <c r="G179" s="75">
        <v>12999.5</v>
      </c>
      <c r="H179" s="75"/>
      <c r="I179" s="75"/>
      <c r="J179" s="26">
        <f>K179+L179+M179</f>
        <v>12999.5</v>
      </c>
      <c r="K179" s="75">
        <v>12999.5</v>
      </c>
      <c r="L179" s="75"/>
      <c r="M179" s="75"/>
      <c r="N179" s="26">
        <f t="shared" ref="N179:N186" si="246">O179+P179+Q179</f>
        <v>0</v>
      </c>
      <c r="O179" s="75"/>
      <c r="P179" s="75"/>
      <c r="Q179" s="75"/>
      <c r="R179" s="26">
        <f>S179+T179+U179</f>
        <v>13000</v>
      </c>
      <c r="S179" s="75">
        <v>13000</v>
      </c>
      <c r="T179" s="75"/>
      <c r="U179" s="75"/>
      <c r="V179" s="59">
        <f t="shared" si="195"/>
        <v>1</v>
      </c>
    </row>
    <row r="180" spans="1:101" ht="55.5" customHeight="1">
      <c r="A180" s="36"/>
      <c r="B180" s="38" t="s">
        <v>211</v>
      </c>
      <c r="C180" s="32" t="s">
        <v>314</v>
      </c>
      <c r="D180" s="33" t="s">
        <v>93</v>
      </c>
      <c r="E180" s="32" t="s">
        <v>210</v>
      </c>
      <c r="F180" s="26">
        <f t="shared" si="191"/>
        <v>1494.2</v>
      </c>
      <c r="G180" s="75">
        <v>194.2</v>
      </c>
      <c r="H180" s="75">
        <v>1300</v>
      </c>
      <c r="I180" s="75"/>
      <c r="J180" s="26">
        <f>K180+L180+M180</f>
        <v>1494.2</v>
      </c>
      <c r="K180" s="75">
        <v>194.2</v>
      </c>
      <c r="L180" s="75">
        <v>1300</v>
      </c>
      <c r="M180" s="75"/>
      <c r="N180" s="26">
        <f t="shared" si="246"/>
        <v>1494.2</v>
      </c>
      <c r="O180" s="75">
        <v>194.2</v>
      </c>
      <c r="P180" s="75">
        <v>1300</v>
      </c>
      <c r="Q180" s="75"/>
      <c r="R180" s="26">
        <f>S180+T180+U180</f>
        <v>1494.2</v>
      </c>
      <c r="S180" s="75">
        <v>194.2</v>
      </c>
      <c r="T180" s="75">
        <v>1300</v>
      </c>
      <c r="U180" s="75"/>
      <c r="V180" s="59">
        <f t="shared" si="195"/>
        <v>1</v>
      </c>
    </row>
    <row r="181" spans="1:101" ht="75.75" customHeight="1">
      <c r="A181" s="36"/>
      <c r="B181" s="38" t="s">
        <v>172</v>
      </c>
      <c r="C181" s="32" t="s">
        <v>314</v>
      </c>
      <c r="D181" s="33" t="s">
        <v>93</v>
      </c>
      <c r="E181" s="32" t="s">
        <v>171</v>
      </c>
      <c r="F181" s="26">
        <f t="shared" si="191"/>
        <v>0</v>
      </c>
      <c r="G181" s="75"/>
      <c r="H181" s="75"/>
      <c r="I181" s="75">
        <v>0</v>
      </c>
      <c r="J181" s="26">
        <f>K181+L181+M181</f>
        <v>0</v>
      </c>
      <c r="K181" s="75"/>
      <c r="L181" s="75"/>
      <c r="M181" s="75"/>
      <c r="N181" s="26">
        <f t="shared" si="246"/>
        <v>1041.7</v>
      </c>
      <c r="O181" s="75">
        <v>1000</v>
      </c>
      <c r="P181" s="75"/>
      <c r="Q181" s="75">
        <v>41.7</v>
      </c>
      <c r="R181" s="26">
        <f>S181+T181+U181</f>
        <v>1041.7</v>
      </c>
      <c r="S181" s="75">
        <v>1000</v>
      </c>
      <c r="T181" s="75"/>
      <c r="U181" s="75">
        <v>41.7</v>
      </c>
      <c r="V181" s="59" t="e">
        <f t="shared" si="195"/>
        <v>#DIV/0!</v>
      </c>
    </row>
    <row r="182" spans="1:101" ht="30" customHeight="1">
      <c r="A182" s="22" t="s">
        <v>193</v>
      </c>
      <c r="B182" s="45" t="s">
        <v>335</v>
      </c>
      <c r="C182" s="58" t="s">
        <v>12</v>
      </c>
      <c r="D182" s="58" t="s">
        <v>12</v>
      </c>
      <c r="E182" s="58" t="s">
        <v>12</v>
      </c>
      <c r="F182" s="26">
        <f t="shared" ref="F182" si="247">G182+H182+I182</f>
        <v>5700</v>
      </c>
      <c r="G182" s="25">
        <f>SUM(G184)</f>
        <v>0</v>
      </c>
      <c r="H182" s="25">
        <f t="shared" ref="H182:I182" si="248">SUM(H184)</f>
        <v>5700</v>
      </c>
      <c r="I182" s="25">
        <f t="shared" si="248"/>
        <v>0</v>
      </c>
      <c r="J182" s="26">
        <f t="shared" ref="J182" si="249">K182+L182+M182</f>
        <v>5700</v>
      </c>
      <c r="K182" s="25">
        <f>SUM(K184)</f>
        <v>0</v>
      </c>
      <c r="L182" s="25">
        <f t="shared" ref="L182:M182" si="250">SUM(L184)</f>
        <v>5700</v>
      </c>
      <c r="M182" s="25">
        <f t="shared" si="250"/>
        <v>0</v>
      </c>
      <c r="N182" s="26">
        <f t="shared" si="246"/>
        <v>0</v>
      </c>
      <c r="O182" s="25">
        <f>SUM(O184)</f>
        <v>0</v>
      </c>
      <c r="P182" s="25">
        <f t="shared" ref="P182:Q182" si="251">SUM(P184)</f>
        <v>0</v>
      </c>
      <c r="Q182" s="25">
        <f t="shared" si="251"/>
        <v>0</v>
      </c>
      <c r="R182" s="26">
        <f>S182+T182+U182</f>
        <v>0</v>
      </c>
      <c r="S182" s="25">
        <f>SUM(S184)</f>
        <v>0</v>
      </c>
      <c r="T182" s="25">
        <f t="shared" ref="T182:U182" si="252">SUM(T184)</f>
        <v>0</v>
      </c>
      <c r="U182" s="25">
        <f t="shared" si="252"/>
        <v>0</v>
      </c>
      <c r="V182" s="35">
        <f t="shared" ref="V182" si="253">J182/F182</f>
        <v>1</v>
      </c>
    </row>
    <row r="183" spans="1:101" ht="23.25" customHeight="1">
      <c r="A183" s="36"/>
      <c r="B183" s="57" t="s">
        <v>15</v>
      </c>
      <c r="C183" s="30"/>
      <c r="D183" s="39"/>
      <c r="E183" s="30"/>
      <c r="F183" s="26"/>
      <c r="G183" s="25"/>
      <c r="H183" s="25"/>
      <c r="I183" s="25"/>
      <c r="J183" s="26"/>
      <c r="K183" s="25"/>
      <c r="L183" s="25"/>
      <c r="M183" s="25"/>
      <c r="N183" s="26"/>
      <c r="O183" s="25"/>
      <c r="P183" s="25"/>
      <c r="Q183" s="25"/>
      <c r="R183" s="26"/>
      <c r="S183" s="25"/>
      <c r="T183" s="25"/>
      <c r="U183" s="25"/>
      <c r="V183" s="35"/>
    </row>
    <row r="184" spans="1:101" ht="60" customHeight="1">
      <c r="A184" s="36"/>
      <c r="B184" s="38" t="s">
        <v>242</v>
      </c>
      <c r="C184" s="32" t="s">
        <v>314</v>
      </c>
      <c r="D184" s="33" t="s">
        <v>93</v>
      </c>
      <c r="E184" s="32" t="s">
        <v>151</v>
      </c>
      <c r="F184" s="26">
        <f t="shared" ref="F184" si="254">G184+H184+I184</f>
        <v>5700</v>
      </c>
      <c r="G184" s="75"/>
      <c r="H184" s="75">
        <v>5700</v>
      </c>
      <c r="I184" s="75"/>
      <c r="J184" s="26">
        <f>K184+L184+M184</f>
        <v>5700</v>
      </c>
      <c r="K184" s="75"/>
      <c r="L184" s="75">
        <v>5700</v>
      </c>
      <c r="M184" s="75"/>
      <c r="N184" s="26">
        <f t="shared" ref="N184" si="255">O184+P184+Q184</f>
        <v>0</v>
      </c>
      <c r="O184" s="75"/>
      <c r="P184" s="75"/>
      <c r="Q184" s="75"/>
      <c r="R184" s="26">
        <f>S184+T184+U184</f>
        <v>0</v>
      </c>
      <c r="S184" s="75"/>
      <c r="T184" s="75"/>
      <c r="U184" s="75"/>
      <c r="V184" s="59">
        <f t="shared" ref="V184" si="256">J184/F184</f>
        <v>1</v>
      </c>
    </row>
    <row r="185" spans="1:101" s="62" customFormat="1" ht="78.75" customHeight="1">
      <c r="A185" s="17" t="s">
        <v>97</v>
      </c>
      <c r="B185" s="56" t="s">
        <v>98</v>
      </c>
      <c r="C185" s="19" t="s">
        <v>12</v>
      </c>
      <c r="D185" s="19" t="s">
        <v>12</v>
      </c>
      <c r="E185" s="19" t="s">
        <v>12</v>
      </c>
      <c r="F185" s="42">
        <f>G185+H185+I185</f>
        <v>148034</v>
      </c>
      <c r="G185" s="42">
        <f>G186+G189+G193</f>
        <v>6919.2</v>
      </c>
      <c r="H185" s="42">
        <f>H186+H189+H193</f>
        <v>141114.79999999999</v>
      </c>
      <c r="I185" s="42">
        <f>I186+I189+I193</f>
        <v>0</v>
      </c>
      <c r="J185" s="42">
        <f>K185+L185+M185</f>
        <v>146510.1</v>
      </c>
      <c r="K185" s="42">
        <f>K186+K189+K193</f>
        <v>5395.3</v>
      </c>
      <c r="L185" s="42">
        <f>L186+L189+L193</f>
        <v>141114.79999999999</v>
      </c>
      <c r="M185" s="42">
        <f>M186+M189+M193</f>
        <v>0</v>
      </c>
      <c r="N185" s="42">
        <f>O185+P185+Q185</f>
        <v>268189.09999999998</v>
      </c>
      <c r="O185" s="42">
        <f>O186+O189+O193</f>
        <v>9035.5</v>
      </c>
      <c r="P185" s="42">
        <f>P186+P189+P193</f>
        <v>259153.6</v>
      </c>
      <c r="Q185" s="42">
        <f>Q186+Q189+Q193</f>
        <v>0</v>
      </c>
      <c r="R185" s="42">
        <f t="shared" ref="R185:R186" si="257">S185+T185+U185</f>
        <v>237776.4</v>
      </c>
      <c r="S185" s="42">
        <f>S186+S189+S193</f>
        <v>8123.3</v>
      </c>
      <c r="T185" s="42">
        <f>T186+T189+T193</f>
        <v>229653.1</v>
      </c>
      <c r="U185" s="42">
        <f>U186+U189+U193</f>
        <v>0</v>
      </c>
      <c r="V185" s="43">
        <f t="shared" ref="V185:V215" si="258">J185/F185</f>
        <v>0.99</v>
      </c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</row>
    <row r="186" spans="1:101" ht="56.25" customHeight="1">
      <c r="A186" s="9" t="s">
        <v>99</v>
      </c>
      <c r="B186" s="23" t="s">
        <v>315</v>
      </c>
      <c r="C186" s="34" t="s">
        <v>12</v>
      </c>
      <c r="D186" s="34" t="s">
        <v>12</v>
      </c>
      <c r="E186" s="34" t="s">
        <v>12</v>
      </c>
      <c r="F186" s="25">
        <f t="shared" ref="F186:F215" si="259">G186+H186+I186</f>
        <v>8567</v>
      </c>
      <c r="G186" s="25">
        <f>SUM(G188:G188)</f>
        <v>257</v>
      </c>
      <c r="H186" s="25">
        <f>SUM(H188:H188)</f>
        <v>8310</v>
      </c>
      <c r="I186" s="25">
        <f>SUM(I188:I188)</f>
        <v>0</v>
      </c>
      <c r="J186" s="25">
        <f t="shared" ref="J186" si="260">K186+L186+M186</f>
        <v>8567</v>
      </c>
      <c r="K186" s="25">
        <f>SUM(K188:K188)</f>
        <v>257</v>
      </c>
      <c r="L186" s="25">
        <f>SUM(L188:L188)</f>
        <v>8310</v>
      </c>
      <c r="M186" s="25">
        <f>SUM(M188:M188)</f>
        <v>0</v>
      </c>
      <c r="N186" s="25">
        <f t="shared" si="246"/>
        <v>10593.5</v>
      </c>
      <c r="O186" s="25">
        <f>SUM(O188:O188)</f>
        <v>317.8</v>
      </c>
      <c r="P186" s="25">
        <f>SUM(P188:P188)</f>
        <v>10275.700000000001</v>
      </c>
      <c r="Q186" s="25">
        <f>SUM(Q188:Q188)</f>
        <v>0</v>
      </c>
      <c r="R186" s="25">
        <f t="shared" si="257"/>
        <v>11765.4</v>
      </c>
      <c r="S186" s="25">
        <f>SUM(S188:S188)</f>
        <v>353</v>
      </c>
      <c r="T186" s="25">
        <f>SUM(T188:T188)</f>
        <v>11412.4</v>
      </c>
      <c r="U186" s="25">
        <f>SUM(U188:U188)</f>
        <v>0</v>
      </c>
      <c r="V186" s="27">
        <f t="shared" si="258"/>
        <v>1</v>
      </c>
    </row>
    <row r="187" spans="1:101" ht="18.75">
      <c r="A187" s="12"/>
      <c r="B187" s="61" t="s">
        <v>15</v>
      </c>
      <c r="C187" s="53"/>
      <c r="D187" s="53"/>
      <c r="E187" s="53"/>
      <c r="F187" s="26"/>
      <c r="G187" s="25"/>
      <c r="H187" s="25"/>
      <c r="I187" s="25"/>
      <c r="J187" s="26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35"/>
    </row>
    <row r="188" spans="1:101" ht="117.75" customHeight="1">
      <c r="A188" s="46"/>
      <c r="B188" s="88" t="s">
        <v>340</v>
      </c>
      <c r="C188" s="48" t="s">
        <v>317</v>
      </c>
      <c r="D188" s="49" t="s">
        <v>64</v>
      </c>
      <c r="E188" s="48" t="s">
        <v>198</v>
      </c>
      <c r="F188" s="63">
        <f t="shared" si="259"/>
        <v>8567</v>
      </c>
      <c r="G188" s="99">
        <v>257.01</v>
      </c>
      <c r="H188" s="99">
        <v>8310</v>
      </c>
      <c r="I188" s="99"/>
      <c r="J188" s="63">
        <f t="shared" ref="J188:J189" si="261">K188+L188+M188</f>
        <v>8567</v>
      </c>
      <c r="K188" s="99">
        <v>257</v>
      </c>
      <c r="L188" s="99">
        <v>8310</v>
      </c>
      <c r="M188" s="99"/>
      <c r="N188" s="63">
        <f t="shared" ref="N188:N189" si="262">O188+P188+Q188</f>
        <v>10593.5</v>
      </c>
      <c r="O188" s="99">
        <v>317.8</v>
      </c>
      <c r="P188" s="99">
        <v>10275.700000000001</v>
      </c>
      <c r="Q188" s="99"/>
      <c r="R188" s="63">
        <f t="shared" ref="R188:R189" si="263">S188+T188+U188</f>
        <v>11765.4</v>
      </c>
      <c r="S188" s="99">
        <v>352.96</v>
      </c>
      <c r="T188" s="99">
        <v>11412.4</v>
      </c>
      <c r="U188" s="99"/>
      <c r="V188" s="64">
        <f t="shared" si="258"/>
        <v>1</v>
      </c>
    </row>
    <row r="189" spans="1:101" ht="44.25" customHeight="1">
      <c r="A189" s="22" t="s">
        <v>100</v>
      </c>
      <c r="B189" s="45" t="s">
        <v>316</v>
      </c>
      <c r="C189" s="24" t="s">
        <v>12</v>
      </c>
      <c r="D189" s="24" t="s">
        <v>12</v>
      </c>
      <c r="E189" s="24" t="s">
        <v>12</v>
      </c>
      <c r="F189" s="26">
        <f>G189+H189+I189</f>
        <v>25358.2</v>
      </c>
      <c r="G189" s="25">
        <f>SUM(G191:G192)</f>
        <v>2239</v>
      </c>
      <c r="H189" s="25">
        <f>SUM(H191:H192)</f>
        <v>23119.200000000001</v>
      </c>
      <c r="I189" s="25">
        <f>SUM(I191:I192)</f>
        <v>0</v>
      </c>
      <c r="J189" s="26">
        <f t="shared" si="261"/>
        <v>23834.2</v>
      </c>
      <c r="K189" s="25">
        <f>SUM(K191:K192)</f>
        <v>715</v>
      </c>
      <c r="L189" s="25">
        <f>SUM(L191:L192)</f>
        <v>23119.200000000001</v>
      </c>
      <c r="M189" s="25">
        <f>SUM(M191:M192)</f>
        <v>0</v>
      </c>
      <c r="N189" s="25">
        <f t="shared" si="262"/>
        <v>94146.6</v>
      </c>
      <c r="O189" s="25">
        <f>SUM(O191:O192)</f>
        <v>2824.4</v>
      </c>
      <c r="P189" s="25">
        <f>SUM(P191:P192)</f>
        <v>91322.2</v>
      </c>
      <c r="Q189" s="25">
        <f>SUM(Q191:Q192)</f>
        <v>0</v>
      </c>
      <c r="R189" s="25">
        <f t="shared" si="263"/>
        <v>112808.5</v>
      </c>
      <c r="S189" s="25">
        <f>SUM(S191:S192)</f>
        <v>3384.3</v>
      </c>
      <c r="T189" s="25">
        <f>SUM(T191:T192)</f>
        <v>109424.2</v>
      </c>
      <c r="U189" s="25">
        <f>SUM(U191:U192)</f>
        <v>0</v>
      </c>
      <c r="V189" s="27">
        <f t="shared" si="258"/>
        <v>0.94</v>
      </c>
    </row>
    <row r="190" spans="1:101" ht="18.75">
      <c r="A190" s="36"/>
      <c r="B190" s="57" t="s">
        <v>15</v>
      </c>
      <c r="C190" s="30"/>
      <c r="D190" s="30"/>
      <c r="E190" s="30"/>
      <c r="F190" s="26"/>
      <c r="G190" s="25"/>
      <c r="H190" s="25"/>
      <c r="I190" s="25"/>
      <c r="J190" s="26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35"/>
    </row>
    <row r="191" spans="1:101" ht="121.5" customHeight="1">
      <c r="A191" s="36"/>
      <c r="B191" s="97" t="s">
        <v>347</v>
      </c>
      <c r="C191" s="48" t="s">
        <v>317</v>
      </c>
      <c r="D191" s="49" t="s">
        <v>64</v>
      </c>
      <c r="E191" s="32" t="s">
        <v>109</v>
      </c>
      <c r="F191" s="26">
        <f t="shared" ref="F191" si="264">G191+H191+I191</f>
        <v>14103.1</v>
      </c>
      <c r="G191" s="75">
        <v>1901.31</v>
      </c>
      <c r="H191" s="75">
        <v>12201.8</v>
      </c>
      <c r="I191" s="75"/>
      <c r="J191" s="26">
        <f t="shared" ref="J191" si="265">K191+L191+M191</f>
        <v>12579.1</v>
      </c>
      <c r="K191" s="75">
        <v>377.3</v>
      </c>
      <c r="L191" s="75">
        <v>12201.8</v>
      </c>
      <c r="M191" s="75"/>
      <c r="N191" s="26">
        <f t="shared" ref="N191" si="266">O191+P191+Q191</f>
        <v>76425.7</v>
      </c>
      <c r="O191" s="75">
        <v>2292.8000000000002</v>
      </c>
      <c r="P191" s="75">
        <v>74132.899999999994</v>
      </c>
      <c r="Q191" s="75"/>
      <c r="R191" s="26">
        <f t="shared" ref="R191" si="267">S191+T191+U191</f>
        <v>92736.3</v>
      </c>
      <c r="S191" s="75">
        <v>2782.09</v>
      </c>
      <c r="T191" s="75">
        <v>89954.2</v>
      </c>
      <c r="U191" s="75"/>
      <c r="V191" s="59">
        <f t="shared" ref="V191" si="268">J191/F191</f>
        <v>0.89200000000000002</v>
      </c>
    </row>
    <row r="192" spans="1:101" ht="134.25" customHeight="1">
      <c r="A192" s="36"/>
      <c r="B192" s="38" t="s">
        <v>318</v>
      </c>
      <c r="C192" s="48" t="s">
        <v>317</v>
      </c>
      <c r="D192" s="49" t="s">
        <v>64</v>
      </c>
      <c r="E192" s="32" t="s">
        <v>199</v>
      </c>
      <c r="F192" s="26">
        <f t="shared" si="259"/>
        <v>11255.1</v>
      </c>
      <c r="G192" s="75">
        <v>337.65</v>
      </c>
      <c r="H192" s="75">
        <v>10917.4</v>
      </c>
      <c r="I192" s="75"/>
      <c r="J192" s="26">
        <f t="shared" ref="J192" si="269">K192+L192+M192</f>
        <v>11255.1</v>
      </c>
      <c r="K192" s="75">
        <v>337.7</v>
      </c>
      <c r="L192" s="75">
        <v>10917.4</v>
      </c>
      <c r="M192" s="75"/>
      <c r="N192" s="26">
        <f t="shared" ref="N192" si="270">O192+P192+Q192</f>
        <v>17720.900000000001</v>
      </c>
      <c r="O192" s="75">
        <v>531.6</v>
      </c>
      <c r="P192" s="75">
        <v>17189.3</v>
      </c>
      <c r="Q192" s="75"/>
      <c r="R192" s="26">
        <f t="shared" ref="R192" si="271">S192+T192+U192</f>
        <v>20072.2</v>
      </c>
      <c r="S192" s="75">
        <v>602.16</v>
      </c>
      <c r="T192" s="75">
        <v>19470</v>
      </c>
      <c r="U192" s="75"/>
      <c r="V192" s="59">
        <v>0</v>
      </c>
      <c r="X192" s="16"/>
    </row>
    <row r="193" spans="1:101" ht="45" customHeight="1">
      <c r="A193" s="9" t="s">
        <v>101</v>
      </c>
      <c r="B193" s="23" t="s">
        <v>339</v>
      </c>
      <c r="C193" s="34" t="s">
        <v>12</v>
      </c>
      <c r="D193" s="65" t="s">
        <v>12</v>
      </c>
      <c r="E193" s="34" t="s">
        <v>12</v>
      </c>
      <c r="F193" s="25">
        <f t="shared" si="259"/>
        <v>114108.8</v>
      </c>
      <c r="G193" s="25">
        <f>SUM(G195:G202)</f>
        <v>4423.2</v>
      </c>
      <c r="H193" s="25">
        <f t="shared" ref="H193:I193" si="272">SUM(H195:H202)</f>
        <v>109685.6</v>
      </c>
      <c r="I193" s="25">
        <f t="shared" si="272"/>
        <v>0</v>
      </c>
      <c r="J193" s="25">
        <f t="shared" ref="J193" si="273">K193+L193+M193</f>
        <v>114108.9</v>
      </c>
      <c r="K193" s="25">
        <f>SUM(K195:K202)</f>
        <v>4423.3</v>
      </c>
      <c r="L193" s="25">
        <f t="shared" ref="L193:M193" si="274">SUM(L195:L202)</f>
        <v>109685.6</v>
      </c>
      <c r="M193" s="25">
        <f t="shared" si="274"/>
        <v>0</v>
      </c>
      <c r="N193" s="25">
        <f t="shared" ref="N193" si="275">O193+P193+Q193</f>
        <v>163449</v>
      </c>
      <c r="O193" s="25">
        <f>SUM(O195:O202)</f>
        <v>5893.3</v>
      </c>
      <c r="P193" s="25">
        <f>SUM(P195:P202)</f>
        <v>157555.70000000001</v>
      </c>
      <c r="Q193" s="25">
        <f t="shared" ref="Q193" si="276">SUM(Q195:Q202)</f>
        <v>0</v>
      </c>
      <c r="R193" s="25">
        <f t="shared" ref="R193" si="277">S193+T193+U193</f>
        <v>113202.5</v>
      </c>
      <c r="S193" s="25">
        <f>SUM(S195:S202)</f>
        <v>4386</v>
      </c>
      <c r="T193" s="25">
        <f t="shared" ref="T193:U193" si="278">SUM(T195:T202)</f>
        <v>108816.5</v>
      </c>
      <c r="U193" s="25">
        <f t="shared" si="278"/>
        <v>0</v>
      </c>
      <c r="V193" s="27">
        <f t="shared" si="258"/>
        <v>1</v>
      </c>
    </row>
    <row r="194" spans="1:101" ht="18.75">
      <c r="A194" s="36"/>
      <c r="B194" s="38" t="s">
        <v>15</v>
      </c>
      <c r="C194" s="30"/>
      <c r="D194" s="39"/>
      <c r="E194" s="30"/>
      <c r="F194" s="26"/>
      <c r="G194" s="75"/>
      <c r="H194" s="75"/>
      <c r="I194" s="75"/>
      <c r="J194" s="26"/>
      <c r="K194" s="75"/>
      <c r="L194" s="75"/>
      <c r="M194" s="75"/>
      <c r="N194" s="26"/>
      <c r="O194" s="75"/>
      <c r="P194" s="75"/>
      <c r="Q194" s="75"/>
      <c r="R194" s="26"/>
      <c r="S194" s="75"/>
      <c r="T194" s="75"/>
      <c r="U194" s="75"/>
      <c r="V194" s="59"/>
    </row>
    <row r="195" spans="1:101" ht="114.75" customHeight="1">
      <c r="A195" s="36"/>
      <c r="B195" s="38" t="s">
        <v>319</v>
      </c>
      <c r="C195" s="32" t="s">
        <v>317</v>
      </c>
      <c r="D195" s="33" t="s">
        <v>64</v>
      </c>
      <c r="E195" s="32" t="s">
        <v>110</v>
      </c>
      <c r="F195" s="26">
        <f t="shared" si="259"/>
        <v>2577.3000000000002</v>
      </c>
      <c r="G195" s="75">
        <v>77.3</v>
      </c>
      <c r="H195" s="75">
        <v>2500</v>
      </c>
      <c r="I195" s="75"/>
      <c r="J195" s="26">
        <f t="shared" ref="J195:J201" si="279">K195+L195+M195</f>
        <v>2577.3000000000002</v>
      </c>
      <c r="K195" s="75">
        <v>77.3</v>
      </c>
      <c r="L195" s="75">
        <v>2500</v>
      </c>
      <c r="M195" s="75"/>
      <c r="N195" s="26">
        <f t="shared" ref="N195:N201" si="280">O195+P195+Q195</f>
        <v>2577.3000000000002</v>
      </c>
      <c r="O195" s="75">
        <v>77.3</v>
      </c>
      <c r="P195" s="75">
        <v>2500</v>
      </c>
      <c r="Q195" s="75"/>
      <c r="R195" s="26">
        <f t="shared" ref="R195:R201" si="281">S195+T195+U195</f>
        <v>0</v>
      </c>
      <c r="S195" s="75">
        <v>0</v>
      </c>
      <c r="T195" s="75">
        <v>0</v>
      </c>
      <c r="U195" s="75"/>
      <c r="V195" s="59">
        <f t="shared" si="258"/>
        <v>1</v>
      </c>
    </row>
    <row r="196" spans="1:101" ht="120" customHeight="1">
      <c r="A196" s="36"/>
      <c r="B196" s="38" t="s">
        <v>320</v>
      </c>
      <c r="C196" s="32" t="s">
        <v>317</v>
      </c>
      <c r="D196" s="33" t="s">
        <v>64</v>
      </c>
      <c r="E196" s="32" t="s">
        <v>324</v>
      </c>
      <c r="F196" s="26">
        <f t="shared" si="259"/>
        <v>3608.3</v>
      </c>
      <c r="G196" s="75">
        <v>108.25</v>
      </c>
      <c r="H196" s="75">
        <v>3500</v>
      </c>
      <c r="I196" s="75"/>
      <c r="J196" s="26">
        <f t="shared" si="279"/>
        <v>3608.3</v>
      </c>
      <c r="K196" s="75">
        <v>108.3</v>
      </c>
      <c r="L196" s="75">
        <v>3500</v>
      </c>
      <c r="M196" s="75"/>
      <c r="N196" s="26">
        <f t="shared" si="280"/>
        <v>3608.2</v>
      </c>
      <c r="O196" s="75">
        <v>108.2</v>
      </c>
      <c r="P196" s="75">
        <v>3500</v>
      </c>
      <c r="Q196" s="75"/>
      <c r="R196" s="26">
        <f t="shared" si="281"/>
        <v>0</v>
      </c>
      <c r="S196" s="75">
        <v>0</v>
      </c>
      <c r="T196" s="75">
        <v>0</v>
      </c>
      <c r="U196" s="75"/>
      <c r="V196" s="59">
        <f t="shared" si="258"/>
        <v>1</v>
      </c>
    </row>
    <row r="197" spans="1:101" ht="99">
      <c r="A197" s="36"/>
      <c r="B197" s="38" t="s">
        <v>321</v>
      </c>
      <c r="C197" s="32" t="s">
        <v>317</v>
      </c>
      <c r="D197" s="33" t="s">
        <v>64</v>
      </c>
      <c r="E197" s="32" t="s">
        <v>181</v>
      </c>
      <c r="F197" s="26">
        <f t="shared" si="259"/>
        <v>11670.4</v>
      </c>
      <c r="G197" s="75">
        <v>350.11</v>
      </c>
      <c r="H197" s="75">
        <v>11320.3</v>
      </c>
      <c r="I197" s="75"/>
      <c r="J197" s="26">
        <f t="shared" si="279"/>
        <v>11670.4</v>
      </c>
      <c r="K197" s="75">
        <v>350.1</v>
      </c>
      <c r="L197" s="75">
        <v>11320.3</v>
      </c>
      <c r="M197" s="75"/>
      <c r="N197" s="26">
        <f t="shared" si="280"/>
        <v>11670.4</v>
      </c>
      <c r="O197" s="75">
        <v>350.1</v>
      </c>
      <c r="P197" s="75">
        <v>11320.3</v>
      </c>
      <c r="Q197" s="75"/>
      <c r="R197" s="26">
        <f t="shared" si="281"/>
        <v>0</v>
      </c>
      <c r="S197" s="75">
        <v>0</v>
      </c>
      <c r="T197" s="75">
        <v>0</v>
      </c>
      <c r="U197" s="75"/>
      <c r="V197" s="59">
        <f t="shared" si="258"/>
        <v>1</v>
      </c>
    </row>
    <row r="198" spans="1:101" ht="107.25" customHeight="1">
      <c r="A198" s="36"/>
      <c r="B198" s="38" t="s">
        <v>322</v>
      </c>
      <c r="C198" s="32" t="s">
        <v>317</v>
      </c>
      <c r="D198" s="33" t="s">
        <v>64</v>
      </c>
      <c r="E198" s="32" t="s">
        <v>200</v>
      </c>
      <c r="F198" s="26">
        <f t="shared" si="259"/>
        <v>10975.6</v>
      </c>
      <c r="G198" s="75">
        <v>329.27</v>
      </c>
      <c r="H198" s="75">
        <v>10646.3</v>
      </c>
      <c r="I198" s="75"/>
      <c r="J198" s="26">
        <f t="shared" si="279"/>
        <v>10975.6</v>
      </c>
      <c r="K198" s="75">
        <v>329.3</v>
      </c>
      <c r="L198" s="75">
        <v>10646.3</v>
      </c>
      <c r="M198" s="75"/>
      <c r="N198" s="26">
        <f t="shared" si="280"/>
        <v>11469.2</v>
      </c>
      <c r="O198" s="75">
        <v>344.1</v>
      </c>
      <c r="P198" s="75">
        <v>11125.1</v>
      </c>
      <c r="Q198" s="75"/>
      <c r="R198" s="26">
        <f t="shared" si="281"/>
        <v>10450.299999999999</v>
      </c>
      <c r="S198" s="75">
        <v>313.51</v>
      </c>
      <c r="T198" s="75">
        <v>10136.799999999999</v>
      </c>
      <c r="U198" s="75"/>
      <c r="V198" s="59">
        <f t="shared" si="258"/>
        <v>1</v>
      </c>
    </row>
    <row r="199" spans="1:101" ht="82.5">
      <c r="A199" s="36"/>
      <c r="B199" s="38" t="s">
        <v>201</v>
      </c>
      <c r="C199" s="32" t="s">
        <v>325</v>
      </c>
      <c r="D199" s="33" t="s">
        <v>237</v>
      </c>
      <c r="E199" s="32" t="s">
        <v>202</v>
      </c>
      <c r="F199" s="26">
        <f t="shared" si="259"/>
        <v>40527.5</v>
      </c>
      <c r="G199" s="75">
        <f>1215.8+0.03</f>
        <v>1215.8</v>
      </c>
      <c r="H199" s="75">
        <v>39311.699999999997</v>
      </c>
      <c r="I199" s="75"/>
      <c r="J199" s="26">
        <f t="shared" si="279"/>
        <v>40527.5</v>
      </c>
      <c r="K199" s="75">
        <v>1215.8</v>
      </c>
      <c r="L199" s="75">
        <v>39311.699999999997</v>
      </c>
      <c r="M199" s="75"/>
      <c r="N199" s="26">
        <f t="shared" si="280"/>
        <v>83511.3</v>
      </c>
      <c r="O199" s="75">
        <v>2505.3000000000002</v>
      </c>
      <c r="P199" s="75">
        <v>81006</v>
      </c>
      <c r="Q199" s="75"/>
      <c r="R199" s="26">
        <f t="shared" si="281"/>
        <v>30879.1</v>
      </c>
      <c r="S199" s="75">
        <v>926.4</v>
      </c>
      <c r="T199" s="75">
        <v>29952.7</v>
      </c>
      <c r="U199" s="75"/>
      <c r="V199" s="59">
        <f t="shared" si="258"/>
        <v>1</v>
      </c>
    </row>
    <row r="200" spans="1:101" ht="99.75" customHeight="1">
      <c r="A200" s="36"/>
      <c r="B200" s="38" t="s">
        <v>323</v>
      </c>
      <c r="C200" s="32" t="s">
        <v>317</v>
      </c>
      <c r="D200" s="33" t="s">
        <v>64</v>
      </c>
      <c r="E200" s="32" t="s">
        <v>203</v>
      </c>
      <c r="F200" s="26">
        <f t="shared" si="259"/>
        <v>3529.2</v>
      </c>
      <c r="G200" s="75">
        <v>105.88</v>
      </c>
      <c r="H200" s="75">
        <v>3423.3</v>
      </c>
      <c r="I200" s="75"/>
      <c r="J200" s="26">
        <f t="shared" si="279"/>
        <v>3529.2</v>
      </c>
      <c r="K200" s="75">
        <v>105.9</v>
      </c>
      <c r="L200" s="75">
        <v>3423.3</v>
      </c>
      <c r="M200" s="75"/>
      <c r="N200" s="26">
        <f t="shared" si="280"/>
        <v>3529.2</v>
      </c>
      <c r="O200" s="75">
        <v>105.9</v>
      </c>
      <c r="P200" s="75">
        <v>3423.3</v>
      </c>
      <c r="Q200" s="75"/>
      <c r="R200" s="26">
        <f t="shared" si="281"/>
        <v>0</v>
      </c>
      <c r="S200" s="75">
        <v>0</v>
      </c>
      <c r="T200" s="75">
        <v>0</v>
      </c>
      <c r="U200" s="75"/>
      <c r="V200" s="59">
        <f t="shared" si="258"/>
        <v>1</v>
      </c>
    </row>
    <row r="201" spans="1:101" ht="82.5">
      <c r="A201" s="36"/>
      <c r="B201" s="38" t="s">
        <v>243</v>
      </c>
      <c r="C201" s="32" t="s">
        <v>326</v>
      </c>
      <c r="D201" s="33" t="s">
        <v>102</v>
      </c>
      <c r="E201" s="32" t="s">
        <v>238</v>
      </c>
      <c r="F201" s="26">
        <f t="shared" si="259"/>
        <v>40189.699999999997</v>
      </c>
      <c r="G201" s="75">
        <v>1205.7</v>
      </c>
      <c r="H201" s="75">
        <v>38984</v>
      </c>
      <c r="I201" s="75"/>
      <c r="J201" s="26">
        <f t="shared" si="279"/>
        <v>40189.699999999997</v>
      </c>
      <c r="K201" s="75">
        <v>1205.7</v>
      </c>
      <c r="L201" s="75">
        <v>38984</v>
      </c>
      <c r="M201" s="75"/>
      <c r="N201" s="26">
        <f t="shared" si="280"/>
        <v>46062.9</v>
      </c>
      <c r="O201" s="75">
        <v>1381.9</v>
      </c>
      <c r="P201" s="75">
        <v>44681</v>
      </c>
      <c r="Q201" s="75"/>
      <c r="R201" s="26">
        <f t="shared" si="281"/>
        <v>70852.600000000006</v>
      </c>
      <c r="S201" s="75">
        <v>2125.6</v>
      </c>
      <c r="T201" s="75">
        <v>68727</v>
      </c>
      <c r="U201" s="75"/>
      <c r="V201" s="59">
        <f t="shared" si="258"/>
        <v>1</v>
      </c>
    </row>
    <row r="202" spans="1:101" ht="79.5" customHeight="1">
      <c r="A202" s="36"/>
      <c r="B202" s="38" t="s">
        <v>103</v>
      </c>
      <c r="C202" s="32" t="s">
        <v>326</v>
      </c>
      <c r="D202" s="33" t="s">
        <v>102</v>
      </c>
      <c r="E202" s="32" t="s">
        <v>205</v>
      </c>
      <c r="F202" s="26">
        <f t="shared" si="259"/>
        <v>1030.9000000000001</v>
      </c>
      <c r="G202" s="75">
        <v>1030.9000000000001</v>
      </c>
      <c r="H202" s="75"/>
      <c r="I202" s="75"/>
      <c r="J202" s="26">
        <f t="shared" ref="J202:J204" si="282">K202+L202+M202</f>
        <v>1030.9000000000001</v>
      </c>
      <c r="K202" s="75">
        <v>1030.9000000000001</v>
      </c>
      <c r="L202" s="75"/>
      <c r="M202" s="75"/>
      <c r="N202" s="26">
        <f t="shared" ref="N202:N204" si="283">O202+P202+Q202</f>
        <v>1020.5</v>
      </c>
      <c r="O202" s="75">
        <v>1020.5</v>
      </c>
      <c r="P202" s="75"/>
      <c r="Q202" s="75"/>
      <c r="R202" s="26">
        <f t="shared" ref="R202:R204" si="284">S202+T202+U202</f>
        <v>1020.5</v>
      </c>
      <c r="S202" s="75">
        <v>1020.5</v>
      </c>
      <c r="T202" s="75"/>
      <c r="U202" s="75"/>
      <c r="V202" s="59">
        <f t="shared" si="258"/>
        <v>1</v>
      </c>
    </row>
    <row r="203" spans="1:101" s="62" customFormat="1" ht="51.75" customHeight="1">
      <c r="A203" s="17" t="s">
        <v>104</v>
      </c>
      <c r="B203" s="56" t="s">
        <v>105</v>
      </c>
      <c r="C203" s="19" t="s">
        <v>12</v>
      </c>
      <c r="D203" s="19" t="s">
        <v>12</v>
      </c>
      <c r="E203" s="19" t="s">
        <v>12</v>
      </c>
      <c r="F203" s="42">
        <f t="shared" si="259"/>
        <v>22301.599999999999</v>
      </c>
      <c r="G203" s="42">
        <f>G204</f>
        <v>16292.8</v>
      </c>
      <c r="H203" s="42">
        <f>H204</f>
        <v>6008.8</v>
      </c>
      <c r="I203" s="42">
        <f>I204</f>
        <v>0</v>
      </c>
      <c r="J203" s="42">
        <f t="shared" si="282"/>
        <v>22301.599999999999</v>
      </c>
      <c r="K203" s="42">
        <f>K204</f>
        <v>16292.8</v>
      </c>
      <c r="L203" s="42">
        <f>L204</f>
        <v>6008.8</v>
      </c>
      <c r="M203" s="42">
        <f>M204</f>
        <v>0</v>
      </c>
      <c r="N203" s="42">
        <f t="shared" si="283"/>
        <v>1500</v>
      </c>
      <c r="O203" s="42">
        <f>O204</f>
        <v>1500</v>
      </c>
      <c r="P203" s="42">
        <f>P204</f>
        <v>0</v>
      </c>
      <c r="Q203" s="42">
        <f>Q204</f>
        <v>0</v>
      </c>
      <c r="R203" s="42">
        <f t="shared" si="284"/>
        <v>1500</v>
      </c>
      <c r="S203" s="42">
        <f>S204</f>
        <v>1500</v>
      </c>
      <c r="T203" s="42">
        <f>T204</f>
        <v>0</v>
      </c>
      <c r="U203" s="42">
        <f>U204</f>
        <v>0</v>
      </c>
      <c r="V203" s="43">
        <f t="shared" si="258"/>
        <v>1</v>
      </c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</row>
    <row r="204" spans="1:101" ht="58.5" customHeight="1">
      <c r="A204" s="9" t="s">
        <v>106</v>
      </c>
      <c r="B204" s="23" t="s">
        <v>328</v>
      </c>
      <c r="C204" s="34" t="s">
        <v>12</v>
      </c>
      <c r="D204" s="34" t="s">
        <v>12</v>
      </c>
      <c r="E204" s="34" t="s">
        <v>12</v>
      </c>
      <c r="F204" s="26">
        <f t="shared" si="259"/>
        <v>22301.599999999999</v>
      </c>
      <c r="G204" s="25">
        <f>SUM(G206:G210)</f>
        <v>16292.8</v>
      </c>
      <c r="H204" s="25">
        <f>SUM(H206:H210)</f>
        <v>6008.8</v>
      </c>
      <c r="I204" s="25">
        <f>SUM(I206:I210)</f>
        <v>0</v>
      </c>
      <c r="J204" s="26">
        <f t="shared" si="282"/>
        <v>22301.599999999999</v>
      </c>
      <c r="K204" s="25">
        <f>SUM(K206:K210)</f>
        <v>16292.8</v>
      </c>
      <c r="L204" s="25">
        <f>SUM(L206:L210)</f>
        <v>6008.8</v>
      </c>
      <c r="M204" s="25">
        <f>SUM(M206:M210)</f>
        <v>0</v>
      </c>
      <c r="N204" s="25">
        <f t="shared" si="283"/>
        <v>1500</v>
      </c>
      <c r="O204" s="25">
        <f>SUM(O206:O210)</f>
        <v>1500</v>
      </c>
      <c r="P204" s="25">
        <f>SUM(P206:P210)</f>
        <v>0</v>
      </c>
      <c r="Q204" s="25">
        <f>SUM(Q206:Q210)</f>
        <v>0</v>
      </c>
      <c r="R204" s="25">
        <f t="shared" si="284"/>
        <v>1500</v>
      </c>
      <c r="S204" s="25">
        <f>SUM(S206:S210)</f>
        <v>1500</v>
      </c>
      <c r="T204" s="25">
        <f>SUM(T206:T210)</f>
        <v>0</v>
      </c>
      <c r="U204" s="25">
        <f>SUM(U206:U210)</f>
        <v>0</v>
      </c>
      <c r="V204" s="35">
        <f t="shared" si="258"/>
        <v>1</v>
      </c>
    </row>
    <row r="205" spans="1:101" ht="18.75">
      <c r="A205" s="36"/>
      <c r="B205" s="57" t="s">
        <v>15</v>
      </c>
      <c r="C205" s="30"/>
      <c r="D205" s="30"/>
      <c r="E205" s="30"/>
      <c r="F205" s="26"/>
      <c r="G205" s="25"/>
      <c r="H205" s="25"/>
      <c r="I205" s="25"/>
      <c r="J205" s="26"/>
      <c r="K205" s="25"/>
      <c r="L205" s="25"/>
      <c r="M205" s="25"/>
      <c r="N205" s="26"/>
      <c r="O205" s="25"/>
      <c r="P205" s="25"/>
      <c r="Q205" s="25"/>
      <c r="R205" s="26"/>
      <c r="S205" s="25"/>
      <c r="T205" s="25"/>
      <c r="U205" s="25"/>
      <c r="V205" s="35"/>
    </row>
    <row r="206" spans="1:101" ht="102" customHeight="1">
      <c r="A206" s="36"/>
      <c r="B206" s="38" t="s">
        <v>327</v>
      </c>
      <c r="C206" s="32">
        <v>840</v>
      </c>
      <c r="D206" s="33" t="s">
        <v>64</v>
      </c>
      <c r="E206" s="32" t="s">
        <v>111</v>
      </c>
      <c r="F206" s="26">
        <f t="shared" si="259"/>
        <v>0</v>
      </c>
      <c r="G206" s="75"/>
      <c r="H206" s="75"/>
      <c r="I206" s="75"/>
      <c r="J206" s="26">
        <f t="shared" ref="J206:J210" si="285">K206+L206+M206</f>
        <v>0</v>
      </c>
      <c r="K206" s="75"/>
      <c r="L206" s="75"/>
      <c r="M206" s="75"/>
      <c r="N206" s="26">
        <f t="shared" ref="N206:N210" si="286">O206+P206+Q206</f>
        <v>1500</v>
      </c>
      <c r="O206" s="75">
        <v>1500</v>
      </c>
      <c r="P206" s="75"/>
      <c r="Q206" s="75"/>
      <c r="R206" s="26">
        <f t="shared" ref="R206:R210" si="287">S206+T206+U206</f>
        <v>1500</v>
      </c>
      <c r="S206" s="75">
        <v>1500</v>
      </c>
      <c r="T206" s="75"/>
      <c r="U206" s="75"/>
      <c r="V206" s="59" t="e">
        <f t="shared" si="258"/>
        <v>#DIV/0!</v>
      </c>
    </row>
    <row r="207" spans="1:101" ht="66.75" customHeight="1">
      <c r="A207" s="36"/>
      <c r="B207" s="38" t="s">
        <v>386</v>
      </c>
      <c r="C207" s="32" t="s">
        <v>293</v>
      </c>
      <c r="D207" s="33" t="s">
        <v>65</v>
      </c>
      <c r="E207" s="32" t="s">
        <v>385</v>
      </c>
      <c r="F207" s="26">
        <f>G207+H207+I207</f>
        <v>0</v>
      </c>
      <c r="G207" s="75">
        <v>0</v>
      </c>
      <c r="H207" s="75"/>
      <c r="I207" s="75"/>
      <c r="J207" s="26">
        <f>K207+L207+M207</f>
        <v>0</v>
      </c>
      <c r="K207" s="75"/>
      <c r="L207" s="75"/>
      <c r="M207" s="75"/>
      <c r="N207" s="26">
        <f>O207+P207+Q207</f>
        <v>0</v>
      </c>
      <c r="O207" s="75"/>
      <c r="P207" s="75"/>
      <c r="Q207" s="75"/>
      <c r="R207" s="26"/>
      <c r="S207" s="75"/>
      <c r="T207" s="75"/>
      <c r="U207" s="75"/>
      <c r="V207" s="59"/>
    </row>
    <row r="208" spans="1:101" ht="69.75" customHeight="1">
      <c r="A208" s="36"/>
      <c r="B208" s="38" t="s">
        <v>386</v>
      </c>
      <c r="C208" s="32" t="s">
        <v>286</v>
      </c>
      <c r="D208" s="33" t="s">
        <v>51</v>
      </c>
      <c r="E208" s="32" t="s">
        <v>385</v>
      </c>
      <c r="F208" s="26">
        <f>G208+H208+I208</f>
        <v>1110.8</v>
      </c>
      <c r="G208" s="75">
        <v>1110.8</v>
      </c>
      <c r="H208" s="75"/>
      <c r="I208" s="75"/>
      <c r="J208" s="26">
        <f>K208+L208+M208</f>
        <v>1110.8</v>
      </c>
      <c r="K208" s="99">
        <v>1110.8</v>
      </c>
      <c r="L208" s="75"/>
      <c r="M208" s="75"/>
      <c r="N208" s="26">
        <f>O208+P208+Q208</f>
        <v>0</v>
      </c>
      <c r="O208" s="75"/>
      <c r="P208" s="75"/>
      <c r="Q208" s="75"/>
      <c r="R208" s="26"/>
      <c r="S208" s="75"/>
      <c r="T208" s="75"/>
      <c r="U208" s="75"/>
      <c r="V208" s="59"/>
    </row>
    <row r="209" spans="1:101" ht="102" customHeight="1">
      <c r="A209" s="36"/>
      <c r="B209" s="38" t="s">
        <v>327</v>
      </c>
      <c r="C209" s="32" t="s">
        <v>317</v>
      </c>
      <c r="D209" s="33" t="s">
        <v>64</v>
      </c>
      <c r="E209" s="32" t="s">
        <v>376</v>
      </c>
      <c r="F209" s="26">
        <f t="shared" si="259"/>
        <v>21190.799999999999</v>
      </c>
      <c r="G209" s="75">
        <v>15182</v>
      </c>
      <c r="H209" s="75">
        <v>6008.8</v>
      </c>
      <c r="I209" s="75"/>
      <c r="J209" s="26">
        <f t="shared" si="285"/>
        <v>21190.799999999999</v>
      </c>
      <c r="K209" s="75">
        <v>15182</v>
      </c>
      <c r="L209" s="75">
        <v>6008.8</v>
      </c>
      <c r="M209" s="75"/>
      <c r="N209" s="26">
        <f t="shared" si="286"/>
        <v>0</v>
      </c>
      <c r="O209" s="75"/>
      <c r="P209" s="75"/>
      <c r="Q209" s="75"/>
      <c r="R209" s="26">
        <f t="shared" si="287"/>
        <v>0</v>
      </c>
      <c r="S209" s="75"/>
      <c r="T209" s="75"/>
      <c r="U209" s="75"/>
      <c r="V209" s="59">
        <f t="shared" si="258"/>
        <v>1</v>
      </c>
    </row>
    <row r="210" spans="1:101" ht="74.25" customHeight="1">
      <c r="A210" s="36"/>
      <c r="B210" s="38" t="s">
        <v>365</v>
      </c>
      <c r="C210" s="32">
        <v>804</v>
      </c>
      <c r="D210" s="33" t="s">
        <v>65</v>
      </c>
      <c r="E210" s="32" t="s">
        <v>175</v>
      </c>
      <c r="F210" s="26">
        <f t="shared" si="259"/>
        <v>0</v>
      </c>
      <c r="G210" s="75"/>
      <c r="H210" s="75"/>
      <c r="I210" s="75"/>
      <c r="J210" s="26">
        <f t="shared" si="285"/>
        <v>0</v>
      </c>
      <c r="K210" s="75"/>
      <c r="L210" s="75"/>
      <c r="M210" s="75"/>
      <c r="N210" s="26">
        <f t="shared" si="286"/>
        <v>0</v>
      </c>
      <c r="O210" s="75"/>
      <c r="P210" s="75"/>
      <c r="Q210" s="75"/>
      <c r="R210" s="26">
        <f t="shared" si="287"/>
        <v>0</v>
      </c>
      <c r="S210" s="75"/>
      <c r="T210" s="75"/>
      <c r="U210" s="75"/>
      <c r="V210" s="59" t="e">
        <f t="shared" si="258"/>
        <v>#DIV/0!</v>
      </c>
    </row>
    <row r="211" spans="1:101" s="62" customFormat="1" ht="42.75" customHeight="1">
      <c r="A211" s="56">
        <v>11</v>
      </c>
      <c r="B211" s="56" t="s">
        <v>192</v>
      </c>
      <c r="C211" s="19" t="s">
        <v>12</v>
      </c>
      <c r="D211" s="19" t="s">
        <v>12</v>
      </c>
      <c r="E211" s="66" t="s">
        <v>12</v>
      </c>
      <c r="F211" s="42">
        <f t="shared" si="259"/>
        <v>35917.1</v>
      </c>
      <c r="G211" s="42">
        <f>G212</f>
        <v>1077.5999999999999</v>
      </c>
      <c r="H211" s="42">
        <f>H212</f>
        <v>34839.5</v>
      </c>
      <c r="I211" s="42">
        <f>I212</f>
        <v>0</v>
      </c>
      <c r="J211" s="42">
        <f t="shared" ref="J211:J212" si="288">K211+L211+M211</f>
        <v>35917.1</v>
      </c>
      <c r="K211" s="42">
        <f>K212</f>
        <v>1077.5999999999999</v>
      </c>
      <c r="L211" s="42">
        <f>L212</f>
        <v>34839.5</v>
      </c>
      <c r="M211" s="42">
        <f>M212</f>
        <v>0</v>
      </c>
      <c r="N211" s="42">
        <f t="shared" ref="N211:N212" si="289">O211+P211+Q211</f>
        <v>49763.6</v>
      </c>
      <c r="O211" s="42">
        <f>O212</f>
        <v>1492.9</v>
      </c>
      <c r="P211" s="42">
        <f>P212</f>
        <v>48270.7</v>
      </c>
      <c r="Q211" s="42">
        <f>Q212</f>
        <v>0</v>
      </c>
      <c r="R211" s="42">
        <f t="shared" ref="R211:R212" si="290">S211+T211+U211</f>
        <v>58502.1</v>
      </c>
      <c r="S211" s="42">
        <f>S212</f>
        <v>1755</v>
      </c>
      <c r="T211" s="42">
        <f>T212</f>
        <v>56747.1</v>
      </c>
      <c r="U211" s="42">
        <f>U212</f>
        <v>0</v>
      </c>
      <c r="V211" s="43">
        <f t="shared" si="258"/>
        <v>1</v>
      </c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</row>
    <row r="212" spans="1:101" s="6" customFormat="1" ht="39" customHeight="1">
      <c r="A212" s="22" t="s">
        <v>113</v>
      </c>
      <c r="B212" s="45" t="s">
        <v>114</v>
      </c>
      <c r="C212" s="24" t="s">
        <v>12</v>
      </c>
      <c r="D212" s="24" t="s">
        <v>12</v>
      </c>
      <c r="E212" s="24" t="s">
        <v>12</v>
      </c>
      <c r="F212" s="26">
        <f t="shared" si="259"/>
        <v>35917.1</v>
      </c>
      <c r="G212" s="25">
        <f t="shared" ref="G212:H212" si="291">SUM(G214:G215)</f>
        <v>1077.5999999999999</v>
      </c>
      <c r="H212" s="25">
        <f t="shared" si="291"/>
        <v>34839.5</v>
      </c>
      <c r="I212" s="25">
        <f t="shared" ref="I212" si="292">SUM(I214:I215)</f>
        <v>0</v>
      </c>
      <c r="J212" s="26">
        <f t="shared" si="288"/>
        <v>35917.1</v>
      </c>
      <c r="K212" s="25">
        <f t="shared" ref="K212:M212" si="293">SUM(K214:K215)</f>
        <v>1077.5999999999999</v>
      </c>
      <c r="L212" s="25">
        <f t="shared" si="293"/>
        <v>34839.5</v>
      </c>
      <c r="M212" s="25">
        <f t="shared" si="293"/>
        <v>0</v>
      </c>
      <c r="N212" s="26">
        <f t="shared" si="289"/>
        <v>49763.6</v>
      </c>
      <c r="O212" s="25">
        <f t="shared" ref="O212:T212" si="294">SUM(O214:O215)</f>
        <v>1492.9</v>
      </c>
      <c r="P212" s="25">
        <f t="shared" si="294"/>
        <v>48270.7</v>
      </c>
      <c r="Q212" s="25">
        <f t="shared" si="294"/>
        <v>0</v>
      </c>
      <c r="R212" s="26">
        <f t="shared" si="290"/>
        <v>58502.1</v>
      </c>
      <c r="S212" s="25">
        <f t="shared" si="294"/>
        <v>1755</v>
      </c>
      <c r="T212" s="25">
        <f t="shared" si="294"/>
        <v>56747.1</v>
      </c>
      <c r="U212" s="25">
        <f t="shared" ref="U212" si="295">SUM(U214:U215)</f>
        <v>0</v>
      </c>
      <c r="V212" s="35">
        <f t="shared" si="258"/>
        <v>1</v>
      </c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</row>
    <row r="213" spans="1:101" ht="18.75">
      <c r="A213" s="12"/>
      <c r="B213" s="61" t="s">
        <v>15</v>
      </c>
      <c r="C213" s="53"/>
      <c r="D213" s="53"/>
      <c r="E213" s="53"/>
      <c r="F213" s="26"/>
      <c r="G213" s="25"/>
      <c r="H213" s="25"/>
      <c r="I213" s="25"/>
      <c r="J213" s="26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35"/>
    </row>
    <row r="214" spans="1:101" ht="68.25" customHeight="1">
      <c r="A214" s="67"/>
      <c r="B214" s="38" t="s">
        <v>115</v>
      </c>
      <c r="C214" s="32">
        <v>818</v>
      </c>
      <c r="D214" s="33" t="s">
        <v>116</v>
      </c>
      <c r="E214" s="32" t="s">
        <v>117</v>
      </c>
      <c r="F214" s="26">
        <f t="shared" si="259"/>
        <v>4498.7</v>
      </c>
      <c r="G214" s="75">
        <v>135</v>
      </c>
      <c r="H214" s="75">
        <v>4363.7</v>
      </c>
      <c r="I214" s="75"/>
      <c r="J214" s="26">
        <f t="shared" ref="J214:J215" si="296">K214+L214+M214</f>
        <v>4498.7</v>
      </c>
      <c r="K214" s="75">
        <v>135</v>
      </c>
      <c r="L214" s="75">
        <v>4363.7</v>
      </c>
      <c r="M214" s="75"/>
      <c r="N214" s="25">
        <f t="shared" ref="N214:N215" si="297">O214+P214+Q214</f>
        <v>0</v>
      </c>
      <c r="O214" s="75">
        <v>0</v>
      </c>
      <c r="P214" s="75">
        <v>0</v>
      </c>
      <c r="Q214" s="75"/>
      <c r="R214" s="25">
        <f t="shared" ref="R214:R215" si="298">S214+T214+U214</f>
        <v>8593.5</v>
      </c>
      <c r="S214" s="75">
        <v>257.8</v>
      </c>
      <c r="T214" s="75">
        <v>8335.7000000000007</v>
      </c>
      <c r="U214" s="75"/>
      <c r="V214" s="59">
        <f t="shared" si="258"/>
        <v>1</v>
      </c>
    </row>
    <row r="215" spans="1:101" ht="85.5" customHeight="1">
      <c r="A215" s="67"/>
      <c r="B215" s="38" t="s">
        <v>221</v>
      </c>
      <c r="C215" s="32">
        <v>817</v>
      </c>
      <c r="D215" s="33" t="s">
        <v>102</v>
      </c>
      <c r="E215" s="32" t="s">
        <v>190</v>
      </c>
      <c r="F215" s="26">
        <f t="shared" si="259"/>
        <v>31418.400000000001</v>
      </c>
      <c r="G215" s="75">
        <v>942.6</v>
      </c>
      <c r="H215" s="75">
        <v>30475.8</v>
      </c>
      <c r="I215" s="75"/>
      <c r="J215" s="26">
        <f t="shared" si="296"/>
        <v>31418.400000000001</v>
      </c>
      <c r="K215" s="75">
        <v>942.6</v>
      </c>
      <c r="L215" s="75">
        <v>30475.8</v>
      </c>
      <c r="M215" s="75"/>
      <c r="N215" s="25">
        <f t="shared" si="297"/>
        <v>49763.6</v>
      </c>
      <c r="O215" s="75">
        <v>1492.9</v>
      </c>
      <c r="P215" s="75">
        <v>48270.7</v>
      </c>
      <c r="Q215" s="75"/>
      <c r="R215" s="25">
        <f t="shared" si="298"/>
        <v>49908.6</v>
      </c>
      <c r="S215" s="75">
        <v>1497.2</v>
      </c>
      <c r="T215" s="75">
        <v>48411.4</v>
      </c>
      <c r="U215" s="75"/>
      <c r="V215" s="59">
        <f t="shared" si="258"/>
        <v>1</v>
      </c>
    </row>
    <row r="216" spans="1:101">
      <c r="B216" s="4" t="s">
        <v>329</v>
      </c>
    </row>
    <row r="217" spans="1:101" ht="16.5" customHeight="1">
      <c r="B217" s="4" t="s">
        <v>191</v>
      </c>
    </row>
    <row r="218" spans="1:101">
      <c r="B218" s="95" t="s">
        <v>366</v>
      </c>
      <c r="F218" s="2"/>
      <c r="J218" s="2"/>
      <c r="N218" s="2"/>
      <c r="R218" s="2"/>
      <c r="V218" s="2"/>
    </row>
    <row r="219" spans="1:101">
      <c r="B219" s="95" t="s">
        <v>367</v>
      </c>
      <c r="F219" s="2"/>
      <c r="J219" s="2"/>
      <c r="N219" s="2"/>
      <c r="R219" s="2"/>
      <c r="V219" s="2"/>
    </row>
    <row r="220" spans="1:101">
      <c r="B220" s="96" t="s">
        <v>377</v>
      </c>
      <c r="F220" s="2"/>
      <c r="J220" s="2"/>
      <c r="N220" s="2"/>
      <c r="R220" s="2"/>
      <c r="V220" s="2"/>
    </row>
    <row r="221" spans="1:101">
      <c r="F221" s="2"/>
      <c r="J221" s="2"/>
      <c r="N221" s="2"/>
      <c r="R221" s="2"/>
      <c r="V221" s="2"/>
    </row>
    <row r="222" spans="1:101">
      <c r="F222" s="2"/>
      <c r="J222" s="2"/>
      <c r="N222" s="2"/>
      <c r="R222" s="2"/>
      <c r="V222" s="2"/>
    </row>
    <row r="223" spans="1:101" ht="22.15" customHeight="1">
      <c r="F223" s="2"/>
      <c r="J223" s="2"/>
      <c r="N223" s="2"/>
      <c r="R223" s="2"/>
      <c r="V223" s="2"/>
    </row>
    <row r="224" spans="1:101" ht="22.15" customHeight="1">
      <c r="F224" s="2"/>
      <c r="J224" s="2"/>
      <c r="N224" s="2"/>
      <c r="R224" s="2"/>
      <c r="V224" s="2"/>
    </row>
    <row r="225" spans="6:22" ht="22.15" customHeight="1">
      <c r="F225" s="2"/>
      <c r="J225" s="2"/>
      <c r="N225" s="2"/>
      <c r="R225" s="2"/>
      <c r="V225" s="2"/>
    </row>
    <row r="226" spans="6:22" ht="22.15" customHeight="1">
      <c r="F226" s="2"/>
      <c r="J226" s="2"/>
      <c r="N226" s="2"/>
      <c r="R226" s="2"/>
      <c r="V226" s="2"/>
    </row>
    <row r="227" spans="6:22" ht="21" customHeight="1">
      <c r="F227" s="2"/>
      <c r="J227" s="2"/>
      <c r="N227" s="2"/>
      <c r="R227" s="2"/>
      <c r="V227" s="2"/>
    </row>
    <row r="228" spans="6:22" ht="21" customHeight="1">
      <c r="F228" s="2"/>
      <c r="J228" s="2"/>
      <c r="N228" s="2"/>
      <c r="R228" s="2"/>
      <c r="V228" s="2"/>
    </row>
    <row r="229" spans="6:22" ht="21" customHeight="1">
      <c r="F229" s="2"/>
      <c r="J229" s="2"/>
      <c r="N229" s="2"/>
      <c r="R229" s="2"/>
      <c r="V229" s="2"/>
    </row>
    <row r="230" spans="6:22" ht="21" customHeight="1">
      <c r="F230" s="2"/>
      <c r="J230" s="2"/>
      <c r="N230" s="2"/>
      <c r="R230" s="2"/>
      <c r="V230" s="2"/>
    </row>
    <row r="231" spans="6:22" ht="17.45" customHeight="1">
      <c r="F231" s="2"/>
      <c r="J231" s="2"/>
      <c r="N231" s="2"/>
      <c r="R231" s="2"/>
      <c r="V231" s="2"/>
    </row>
    <row r="232" spans="6:22" ht="16.149999999999999" customHeight="1">
      <c r="F232" s="2"/>
      <c r="J232" s="2"/>
      <c r="N232" s="2"/>
      <c r="R232" s="2"/>
      <c r="V232" s="2"/>
    </row>
    <row r="233" spans="6:22" ht="17.45" customHeight="1">
      <c r="F233" s="2"/>
      <c r="J233" s="2"/>
      <c r="N233" s="2"/>
      <c r="R233" s="2"/>
      <c r="V233" s="2"/>
    </row>
    <row r="234" spans="6:22" ht="20.45" customHeight="1">
      <c r="F234" s="2"/>
      <c r="J234" s="2"/>
      <c r="N234" s="2"/>
      <c r="R234" s="2"/>
      <c r="V234" s="2"/>
    </row>
    <row r="235" spans="6:22" ht="16.149999999999999" customHeight="1">
      <c r="F235" s="2"/>
      <c r="J235" s="2"/>
      <c r="N235" s="2"/>
      <c r="R235" s="2"/>
      <c r="V235" s="2"/>
    </row>
    <row r="236" spans="6:22" ht="17.45" customHeight="1">
      <c r="F236" s="2"/>
      <c r="J236" s="2"/>
      <c r="N236" s="2"/>
      <c r="R236" s="2"/>
      <c r="V236" s="2"/>
    </row>
    <row r="237" spans="6:22" ht="17.45" customHeight="1">
      <c r="F237" s="2"/>
      <c r="J237" s="2"/>
      <c r="N237" s="2"/>
      <c r="R237" s="2"/>
      <c r="V237" s="2"/>
    </row>
    <row r="238" spans="6:22">
      <c r="F238" s="2"/>
      <c r="J238" s="2"/>
      <c r="N238" s="2"/>
      <c r="R238" s="2"/>
      <c r="V238" s="2"/>
    </row>
    <row r="239" spans="6:22">
      <c r="F239" s="2"/>
      <c r="J239" s="2"/>
      <c r="N239" s="2"/>
      <c r="R239" s="2"/>
      <c r="V239" s="2"/>
    </row>
    <row r="240" spans="6:22">
      <c r="F240" s="2"/>
      <c r="J240" s="2"/>
      <c r="N240" s="2"/>
      <c r="R240" s="2"/>
      <c r="V240" s="2"/>
    </row>
    <row r="241" spans="6:22">
      <c r="F241" s="2"/>
      <c r="J241" s="2"/>
      <c r="N241" s="2"/>
      <c r="R241" s="2"/>
      <c r="V241" s="2"/>
    </row>
    <row r="242" spans="6:22">
      <c r="F242" s="2"/>
      <c r="J242" s="2"/>
      <c r="N242" s="2"/>
      <c r="R242" s="2"/>
      <c r="V242" s="2"/>
    </row>
    <row r="243" spans="6:22">
      <c r="F243" s="2"/>
      <c r="J243" s="2"/>
      <c r="N243" s="2"/>
      <c r="R243" s="2"/>
      <c r="V243" s="2"/>
    </row>
    <row r="244" spans="6:22">
      <c r="F244" s="2"/>
      <c r="J244" s="2"/>
      <c r="N244" s="2"/>
      <c r="R244" s="2"/>
      <c r="V244" s="2"/>
    </row>
    <row r="245" spans="6:22">
      <c r="F245" s="2"/>
      <c r="J245" s="2"/>
      <c r="N245" s="2"/>
      <c r="R245" s="2"/>
      <c r="V245" s="2"/>
    </row>
    <row r="246" spans="6:22">
      <c r="F246" s="2"/>
      <c r="J246" s="2"/>
      <c r="N246" s="2"/>
      <c r="R246" s="2"/>
      <c r="V246" s="2"/>
    </row>
    <row r="247" spans="6:22">
      <c r="F247" s="2"/>
      <c r="J247" s="2"/>
      <c r="N247" s="2"/>
      <c r="R247" s="2"/>
      <c r="V247" s="2"/>
    </row>
    <row r="248" spans="6:22">
      <c r="F248" s="2"/>
      <c r="J248" s="2"/>
      <c r="N248" s="2"/>
      <c r="R248" s="2"/>
      <c r="V248" s="2"/>
    </row>
    <row r="249" spans="6:22">
      <c r="F249" s="2"/>
      <c r="J249" s="2"/>
      <c r="N249" s="2"/>
      <c r="R249" s="2"/>
      <c r="V249" s="2"/>
    </row>
    <row r="250" spans="6:22">
      <c r="F250" s="2"/>
      <c r="J250" s="2"/>
      <c r="N250" s="2"/>
      <c r="R250" s="2"/>
      <c r="V250" s="2"/>
    </row>
    <row r="251" spans="6:22">
      <c r="F251" s="2"/>
      <c r="J251" s="2"/>
      <c r="N251" s="2"/>
      <c r="R251" s="2"/>
      <c r="V251" s="2"/>
    </row>
    <row r="252" spans="6:22">
      <c r="F252" s="2"/>
      <c r="J252" s="2"/>
      <c r="N252" s="2"/>
      <c r="R252" s="2"/>
      <c r="V252" s="2"/>
    </row>
    <row r="253" spans="6:22">
      <c r="F253" s="2"/>
      <c r="J253" s="2"/>
      <c r="N253" s="2"/>
      <c r="R253" s="2"/>
      <c r="V253" s="2"/>
    </row>
    <row r="254" spans="6:22">
      <c r="F254" s="2"/>
      <c r="J254" s="2"/>
      <c r="N254" s="2"/>
      <c r="R254" s="2"/>
      <c r="V254" s="2"/>
    </row>
    <row r="255" spans="6:22">
      <c r="F255" s="2"/>
      <c r="J255" s="2"/>
      <c r="N255" s="2"/>
      <c r="R255" s="2"/>
      <c r="V255" s="2"/>
    </row>
  </sheetData>
  <autoFilter ref="E12:E217"/>
  <customSheetViews>
    <customSheetView guid="{F6FA4751-5470-442B-8CE2-1DF7C5920E7E}" scale="77" showPageBreaks="1" printArea="1" showAutoFilter="1">
      <pane xSplit="1" ySplit="7" topLeftCell="B8" activePane="bottomRight" state="frozen"/>
      <selection pane="bottomRight" activeCell="B13" sqref="B13"/>
      <rowBreaks count="2" manualBreakCount="2">
        <brk id="97" max="37" man="1"/>
        <brk id="112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  <autoFilter ref="E12:E217"/>
    </customSheetView>
    <customSheetView guid="{235DFFC8-6F08-4EDB-A56F-6D1F006DDE70}" scale="60" showAutoFilter="1">
      <pane xSplit="1" ySplit="7" topLeftCell="B207" activePane="bottomRight" state="frozen"/>
      <selection pane="bottomRight" activeCell="B210" sqref="B210"/>
      <rowBreaks count="2" manualBreakCount="2">
        <brk id="96" max="37" man="1"/>
        <brk id="110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  <autoFilter ref="E12:E216"/>
    </customSheetView>
    <customSheetView guid="{93EA31E7-8B3D-4C73-8B82-ECC92251AB38}" scale="60" showAutoFilter="1">
      <pane xSplit="1" ySplit="7" topLeftCell="B8" activePane="bottomRight" state="frozen"/>
      <selection pane="bottomRight" activeCell="J218" sqref="J218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3"/>
      <autoFilter ref="E12:E207"/>
    </customSheetView>
    <customSheetView guid="{CFE875CB-1045-45F7-825E-02100661E885}" scale="60" showPageBreaks="1" printArea="1" showAutoFilter="1">
      <pane xSplit="1" ySplit="7" topLeftCell="C96" activePane="bottomRight" state="frozen"/>
      <selection pane="bottomRight" activeCell="F104" sqref="F10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4"/>
      <autoFilter ref="A7:V213"/>
    </customSheetView>
    <customSheetView guid="{FE09AB06-1ECE-4486-BCA1-E9D85830708B}" scale="60" showPageBreaks="1" printArea="1" showAutoFilter="1">
      <pane xSplit="1" ySplit="7" topLeftCell="B29" activePane="bottomRight" state="frozen"/>
      <selection pane="bottomRight" activeCell="T36" sqref="T36"/>
      <rowBreaks count="2" manualBreakCount="2">
        <brk id="96" max="37" man="1"/>
        <brk id="110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  <autoFilter ref="E12:E216"/>
    </customSheetView>
    <customSheetView guid="{C3184F73-54AF-4F22-946A-A08664393BAF}" scale="60" showAutoFilter="1">
      <pane xSplit="1" ySplit="7" topLeftCell="B122" activePane="bottomRight" state="frozen"/>
      <selection pane="bottomRight" activeCell="N133" sqref="N133"/>
      <rowBreaks count="2" manualBreakCount="2">
        <brk id="96" max="37" man="1"/>
        <brk id="110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6"/>
      <autoFilter ref="E12:E216"/>
    </customSheetView>
    <customSheetView guid="{8DBC8541-9868-41A7-9A9F-A27FC80CBA37}" scale="78" showPageBreaks="1" printArea="1">
      <pane xSplit="1" ySplit="7" topLeftCell="B8" activePane="bottomRight" state="frozen"/>
      <selection pane="bottomRight" activeCell="J14" sqref="J14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7"/>
    </customSheetView>
  </customSheetViews>
  <mergeCells count="15"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8"/>
  <rowBreaks count="2" manualBreakCount="2">
    <brk id="97" max="37" man="1"/>
    <brk id="112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topLeftCell="A4" zoomScaleNormal="100" workbookViewId="0">
      <selection activeCell="C12" sqref="C12"/>
    </sheetView>
  </sheetViews>
  <sheetFormatPr defaultColWidth="9.140625" defaultRowHeight="15"/>
  <cols>
    <col min="1" max="1" width="6.42578125" style="3" customWidth="1"/>
    <col min="2" max="2" width="56.42578125" style="4" customWidth="1"/>
    <col min="3" max="3" width="17.5703125" style="3" customWidth="1"/>
    <col min="4" max="4" width="15.5703125" style="6" customWidth="1"/>
    <col min="5" max="5" width="10.28515625" style="3" customWidth="1"/>
    <col min="6" max="6" width="50" style="2" hidden="1" customWidth="1"/>
    <col min="7" max="7" width="9.140625" style="2" hidden="1" customWidth="1"/>
    <col min="8" max="8" width="8.85546875" style="2"/>
    <col min="9" max="9" width="6" style="2" customWidth="1"/>
    <col min="10" max="10" width="36.140625" style="80" customWidth="1"/>
    <col min="11" max="11" width="18.42578125" style="2" bestFit="1" customWidth="1"/>
    <col min="12" max="12" width="18.28515625" style="2" customWidth="1"/>
    <col min="13" max="13" width="9.140625" style="2" customWidth="1"/>
    <col min="14" max="14" width="18.42578125" style="2" bestFit="1" customWidth="1"/>
    <col min="15" max="15" width="9.7109375" style="2" bestFit="1" customWidth="1"/>
    <col min="16" max="16" width="9" style="2" bestFit="1" customWidth="1"/>
    <col min="17" max="88" width="9.140625" style="2"/>
    <col min="89" max="16384" width="9.140625" style="3"/>
  </cols>
  <sheetData>
    <row r="1" spans="1:88" ht="15" customHeight="1">
      <c r="A1" s="114" t="s">
        <v>239</v>
      </c>
      <c r="B1" s="114"/>
      <c r="C1" s="114"/>
      <c r="D1" s="114"/>
      <c r="E1" s="114"/>
    </row>
    <row r="2" spans="1:88" ht="37.5" customHeight="1">
      <c r="A2" s="114"/>
      <c r="B2" s="114"/>
      <c r="C2" s="114"/>
      <c r="D2" s="114"/>
      <c r="E2" s="114"/>
    </row>
    <row r="4" spans="1:88" ht="16.5" customHeight="1">
      <c r="A4" s="70" t="s">
        <v>0</v>
      </c>
      <c r="B4" s="71" t="s">
        <v>1</v>
      </c>
      <c r="C4" s="72" t="s">
        <v>194</v>
      </c>
      <c r="D4" s="72" t="s">
        <v>194</v>
      </c>
      <c r="E4" s="68" t="s">
        <v>234</v>
      </c>
      <c r="F4" s="69" t="s">
        <v>240</v>
      </c>
      <c r="G4" s="69" t="s">
        <v>241</v>
      </c>
      <c r="I4" s="135" t="s">
        <v>0</v>
      </c>
      <c r="J4" s="137" t="s">
        <v>1</v>
      </c>
      <c r="K4" s="139" t="s">
        <v>245</v>
      </c>
      <c r="L4" s="134" t="s">
        <v>246</v>
      </c>
      <c r="M4" s="134"/>
      <c r="N4" s="134" t="s">
        <v>248</v>
      </c>
      <c r="O4" s="134"/>
    </row>
    <row r="5" spans="1:88" ht="16.5" customHeight="1">
      <c r="A5" s="70"/>
      <c r="B5" s="77"/>
      <c r="C5" s="72"/>
      <c r="D5" s="72"/>
      <c r="E5" s="68"/>
      <c r="F5" s="69"/>
      <c r="G5" s="69"/>
      <c r="I5" s="136"/>
      <c r="J5" s="138"/>
      <c r="K5" s="140"/>
      <c r="L5" s="79" t="s">
        <v>247</v>
      </c>
      <c r="M5" s="79" t="s">
        <v>234</v>
      </c>
      <c r="N5" s="79" t="s">
        <v>247</v>
      </c>
      <c r="O5" s="79" t="s">
        <v>234</v>
      </c>
    </row>
    <row r="6" spans="1:88" ht="19.5">
      <c r="A6" s="12"/>
      <c r="B6" s="13" t="s">
        <v>10</v>
      </c>
      <c r="C6" s="14">
        <f>Лист1!F8/1000</f>
        <v>18035.400000000001</v>
      </c>
      <c r="D6" s="14">
        <f>Лист1!J8/1000</f>
        <v>14573.1</v>
      </c>
      <c r="E6" s="15">
        <f>Лист1!V8</f>
        <v>0.80800000000000005</v>
      </c>
      <c r="F6" s="1"/>
      <c r="G6" s="1"/>
      <c r="I6" s="12"/>
      <c r="J6" s="61" t="s">
        <v>10</v>
      </c>
      <c r="K6" s="73">
        <f>C6</f>
        <v>18035.400000000001</v>
      </c>
      <c r="L6" s="78">
        <f>D6</f>
        <v>14573.1</v>
      </c>
      <c r="M6" s="78">
        <f>L6/K6*100</f>
        <v>80.8</v>
      </c>
      <c r="N6" s="73">
        <v>5306.5</v>
      </c>
      <c r="O6" s="74">
        <f>N6/K6</f>
        <v>0.29399999999999998</v>
      </c>
      <c r="P6" s="16">
        <f>N6-L6</f>
        <v>-9266.6</v>
      </c>
    </row>
    <row r="7" spans="1:88" s="62" customFormat="1" ht="49.5">
      <c r="A7" s="17" t="s">
        <v>9</v>
      </c>
      <c r="B7" s="56" t="s">
        <v>86</v>
      </c>
      <c r="C7" s="42">
        <f>Лист1!F147/1000</f>
        <v>6406.2</v>
      </c>
      <c r="D7" s="42">
        <f>Лист1!J147/1000</f>
        <v>6368.3</v>
      </c>
      <c r="E7" s="43">
        <f>Лист1!V147/1000</f>
        <v>1E-3</v>
      </c>
      <c r="F7" s="1"/>
      <c r="G7" s="1"/>
      <c r="H7" s="2"/>
      <c r="I7" s="12" t="s">
        <v>9</v>
      </c>
      <c r="J7" s="61" t="s">
        <v>86</v>
      </c>
      <c r="K7" s="73">
        <f t="shared" ref="K7:K17" si="0">C7</f>
        <v>6406.2</v>
      </c>
      <c r="L7" s="73">
        <f t="shared" ref="L7:L17" si="1">D7</f>
        <v>6368.3</v>
      </c>
      <c r="M7" s="78">
        <f t="shared" ref="M7:M17" si="2">L7/K7*100</f>
        <v>99.4</v>
      </c>
      <c r="N7" s="75">
        <v>1692.4</v>
      </c>
      <c r="O7" s="74">
        <f t="shared" ref="O7:O17" si="3">N7/K7</f>
        <v>0.26400000000000001</v>
      </c>
      <c r="P7" s="16">
        <f t="shared" ref="P7:P17" si="4">N7-L7</f>
        <v>-4675.8999999999996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</row>
    <row r="8" spans="1:88" ht="33">
      <c r="A8" s="17" t="s">
        <v>32</v>
      </c>
      <c r="B8" s="18" t="s">
        <v>11</v>
      </c>
      <c r="C8" s="20">
        <f>Лист1!F9/1000</f>
        <v>2505.9</v>
      </c>
      <c r="D8" s="20">
        <f>Лист1!J9/1000</f>
        <v>2472.1</v>
      </c>
      <c r="E8" s="21">
        <f>Лист1!V9/1000</f>
        <v>1E-3</v>
      </c>
      <c r="F8" s="1"/>
      <c r="G8" s="1"/>
      <c r="I8" s="12" t="s">
        <v>32</v>
      </c>
      <c r="J8" s="61" t="s">
        <v>11</v>
      </c>
      <c r="K8" s="73">
        <f t="shared" si="0"/>
        <v>2505.9</v>
      </c>
      <c r="L8" s="73">
        <f t="shared" si="1"/>
        <v>2472.1</v>
      </c>
      <c r="M8" s="78">
        <f t="shared" si="2"/>
        <v>98.7</v>
      </c>
      <c r="N8" s="76">
        <v>2032.2</v>
      </c>
      <c r="O8" s="74">
        <f t="shared" si="3"/>
        <v>0.81100000000000005</v>
      </c>
      <c r="P8" s="16">
        <f t="shared" si="4"/>
        <v>-439.9</v>
      </c>
    </row>
    <row r="9" spans="1:88" ht="33">
      <c r="A9" s="19">
        <v>3</v>
      </c>
      <c r="B9" s="40" t="s">
        <v>33</v>
      </c>
      <c r="C9" s="42">
        <f>Лист1!F37/1000</f>
        <v>3769.6</v>
      </c>
      <c r="D9" s="42">
        <f>Лист1!J37/1000</f>
        <v>2764.7</v>
      </c>
      <c r="E9" s="43">
        <f>Лист1!V37/1000</f>
        <v>1E-3</v>
      </c>
      <c r="F9" s="1"/>
      <c r="G9" s="1"/>
      <c r="I9" s="12">
        <v>3</v>
      </c>
      <c r="J9" s="81" t="s">
        <v>33</v>
      </c>
      <c r="K9" s="73">
        <f t="shared" si="0"/>
        <v>3769.6</v>
      </c>
      <c r="L9" s="73">
        <f t="shared" si="1"/>
        <v>2764.7</v>
      </c>
      <c r="M9" s="78">
        <f t="shared" si="2"/>
        <v>73.3</v>
      </c>
      <c r="N9" s="75">
        <v>350.4</v>
      </c>
      <c r="O9" s="74">
        <f t="shared" si="3"/>
        <v>9.2999999999999999E-2</v>
      </c>
      <c r="P9" s="16">
        <f t="shared" si="4"/>
        <v>-2414.3000000000002</v>
      </c>
    </row>
    <row r="10" spans="1:88" s="62" customFormat="1" ht="33">
      <c r="A10" s="17" t="s">
        <v>60</v>
      </c>
      <c r="B10" s="56" t="s">
        <v>68</v>
      </c>
      <c r="C10" s="42">
        <f>Лист1!F118/1000</f>
        <v>3597.3</v>
      </c>
      <c r="D10" s="42">
        <f>Лист1!J118/1000</f>
        <v>1622.6</v>
      </c>
      <c r="E10" s="43">
        <f>Лист1!V118/1000</f>
        <v>0</v>
      </c>
      <c r="F10" s="1"/>
      <c r="G10" s="1"/>
      <c r="H10" s="2"/>
      <c r="I10" s="12" t="s">
        <v>67</v>
      </c>
      <c r="J10" s="61" t="s">
        <v>68</v>
      </c>
      <c r="K10" s="73">
        <f t="shared" si="0"/>
        <v>3597.3</v>
      </c>
      <c r="L10" s="73">
        <f t="shared" si="1"/>
        <v>1622.6</v>
      </c>
      <c r="M10" s="78">
        <f t="shared" si="2"/>
        <v>45.1</v>
      </c>
      <c r="N10" s="75">
        <v>548.5</v>
      </c>
      <c r="O10" s="74">
        <f t="shared" si="3"/>
        <v>0.152</v>
      </c>
      <c r="P10" s="16">
        <f t="shared" si="4"/>
        <v>-1074.0999999999999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</row>
    <row r="11" spans="1:88" ht="33">
      <c r="A11" s="17" t="s">
        <v>67</v>
      </c>
      <c r="B11" s="18" t="s">
        <v>45</v>
      </c>
      <c r="C11" s="42">
        <f>Лист1!F69/1000</f>
        <v>1324.6</v>
      </c>
      <c r="D11" s="42">
        <f>Лист1!J69/1000</f>
        <v>954.3</v>
      </c>
      <c r="E11" s="43">
        <f>Лист1!V69/1000</f>
        <v>1E-3</v>
      </c>
      <c r="F11" s="28"/>
      <c r="G11" s="1"/>
      <c r="I11" s="12" t="s">
        <v>60</v>
      </c>
      <c r="J11" s="61" t="s">
        <v>45</v>
      </c>
      <c r="K11" s="73">
        <f t="shared" si="0"/>
        <v>1324.6</v>
      </c>
      <c r="L11" s="73">
        <f t="shared" si="1"/>
        <v>954.3</v>
      </c>
      <c r="M11" s="78">
        <f t="shared" si="2"/>
        <v>72</v>
      </c>
      <c r="N11" s="75">
        <v>355</v>
      </c>
      <c r="O11" s="74">
        <f t="shared" si="3"/>
        <v>0.26800000000000002</v>
      </c>
      <c r="P11" s="16">
        <f t="shared" si="4"/>
        <v>-599.29999999999995</v>
      </c>
    </row>
    <row r="12" spans="1:88" s="62" customFormat="1" ht="33">
      <c r="A12" s="17" t="s">
        <v>73</v>
      </c>
      <c r="B12" s="18" t="s">
        <v>74</v>
      </c>
      <c r="C12" s="42">
        <f>Лист1!F134/1000</f>
        <v>42.1</v>
      </c>
      <c r="D12" s="42">
        <f>Лист1!J134/1000</f>
        <v>22</v>
      </c>
      <c r="E12" s="43">
        <f>Лист1!V134/1000</f>
        <v>1E-3</v>
      </c>
      <c r="F12" s="1"/>
      <c r="G12" s="1"/>
      <c r="H12" s="2"/>
      <c r="I12" s="12" t="s">
        <v>73</v>
      </c>
      <c r="J12" s="61" t="s">
        <v>74</v>
      </c>
      <c r="K12" s="73">
        <f t="shared" si="0"/>
        <v>42.1</v>
      </c>
      <c r="L12" s="73">
        <f t="shared" si="1"/>
        <v>22</v>
      </c>
      <c r="M12" s="78">
        <f t="shared" si="2"/>
        <v>52.3</v>
      </c>
      <c r="N12" s="75">
        <v>120.2</v>
      </c>
      <c r="O12" s="74">
        <f t="shared" si="3"/>
        <v>2.855</v>
      </c>
      <c r="P12" s="16">
        <f t="shared" si="4"/>
        <v>98.2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</row>
    <row r="13" spans="1:88" s="62" customFormat="1" ht="82.5">
      <c r="A13" s="17" t="s">
        <v>85</v>
      </c>
      <c r="B13" s="56" t="s">
        <v>98</v>
      </c>
      <c r="C13" s="42">
        <f>Лист1!F185/1000</f>
        <v>148</v>
      </c>
      <c r="D13" s="42">
        <f>Лист1!J185/1000</f>
        <v>146.5</v>
      </c>
      <c r="E13" s="43">
        <f>Лист1!V185/1000</f>
        <v>1E-3</v>
      </c>
      <c r="F13" s="1"/>
      <c r="G13" s="1"/>
      <c r="H13" s="2"/>
      <c r="I13" s="12" t="s">
        <v>85</v>
      </c>
      <c r="J13" s="61" t="s">
        <v>98</v>
      </c>
      <c r="K13" s="73">
        <f t="shared" si="0"/>
        <v>148</v>
      </c>
      <c r="L13" s="73">
        <f t="shared" si="1"/>
        <v>146.5</v>
      </c>
      <c r="M13" s="78">
        <f t="shared" si="2"/>
        <v>99</v>
      </c>
      <c r="N13" s="75">
        <v>145.1</v>
      </c>
      <c r="O13" s="74">
        <f t="shared" si="3"/>
        <v>0.98</v>
      </c>
      <c r="P13" s="16">
        <f t="shared" si="4"/>
        <v>-1.4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</row>
    <row r="14" spans="1:88" s="62" customFormat="1" ht="33">
      <c r="A14" s="17" t="s">
        <v>89</v>
      </c>
      <c r="B14" s="18" t="s">
        <v>90</v>
      </c>
      <c r="C14" s="42">
        <f>Лист1!F164/1000</f>
        <v>173.8</v>
      </c>
      <c r="D14" s="42">
        <f>Лист1!J164/1000</f>
        <v>154.80000000000001</v>
      </c>
      <c r="E14" s="43">
        <f>Лист1!V164/1000</f>
        <v>1E-3</v>
      </c>
      <c r="F14" s="1"/>
      <c r="G14" s="1"/>
      <c r="H14" s="2"/>
      <c r="I14" s="12" t="s">
        <v>89</v>
      </c>
      <c r="J14" s="61" t="s">
        <v>90</v>
      </c>
      <c r="K14" s="73">
        <f t="shared" si="0"/>
        <v>173.8</v>
      </c>
      <c r="L14" s="73">
        <f t="shared" si="1"/>
        <v>154.80000000000001</v>
      </c>
      <c r="M14" s="78">
        <f t="shared" si="2"/>
        <v>89.1</v>
      </c>
      <c r="N14" s="75">
        <v>46</v>
      </c>
      <c r="O14" s="74">
        <f t="shared" si="3"/>
        <v>0.26500000000000001</v>
      </c>
      <c r="P14" s="16">
        <f t="shared" si="4"/>
        <v>-108.8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</row>
    <row r="15" spans="1:88" ht="33">
      <c r="A15" s="17" t="s">
        <v>97</v>
      </c>
      <c r="B15" s="56" t="s">
        <v>61</v>
      </c>
      <c r="C15" s="42">
        <f>Лист1!F109/1000</f>
        <v>9.5</v>
      </c>
      <c r="D15" s="42">
        <f>Лист1!J109/1000</f>
        <v>9.5</v>
      </c>
      <c r="E15" s="43">
        <f>Лист1!V109/1000</f>
        <v>1E-3</v>
      </c>
      <c r="F15" s="1"/>
      <c r="G15" s="1"/>
      <c r="I15" s="12" t="s">
        <v>97</v>
      </c>
      <c r="J15" s="61" t="s">
        <v>61</v>
      </c>
      <c r="K15" s="73">
        <f t="shared" si="0"/>
        <v>9.5</v>
      </c>
      <c r="L15" s="73">
        <f t="shared" si="1"/>
        <v>9.5</v>
      </c>
      <c r="M15" s="78">
        <f t="shared" si="2"/>
        <v>100</v>
      </c>
      <c r="N15" s="75">
        <v>4.3</v>
      </c>
      <c r="O15" s="74">
        <f t="shared" si="3"/>
        <v>0.45300000000000001</v>
      </c>
      <c r="P15" s="16">
        <f t="shared" si="4"/>
        <v>-5.2</v>
      </c>
    </row>
    <row r="16" spans="1:88" s="62" customFormat="1" ht="49.5">
      <c r="A16" s="56">
        <v>10</v>
      </c>
      <c r="B16" s="56" t="s">
        <v>192</v>
      </c>
      <c r="C16" s="42">
        <f>Лист1!F211/1000</f>
        <v>35.9</v>
      </c>
      <c r="D16" s="42">
        <f>Лист1!J211/1000</f>
        <v>35.9</v>
      </c>
      <c r="E16" s="43">
        <f>Лист1!V211/1000</f>
        <v>1E-3</v>
      </c>
      <c r="F16" s="1"/>
      <c r="G16" s="1"/>
      <c r="H16" s="2"/>
      <c r="I16" s="12">
        <v>10</v>
      </c>
      <c r="J16" s="61" t="s">
        <v>192</v>
      </c>
      <c r="K16" s="73">
        <f t="shared" si="0"/>
        <v>35.9</v>
      </c>
      <c r="L16" s="73">
        <f t="shared" si="1"/>
        <v>35.9</v>
      </c>
      <c r="M16" s="78">
        <f t="shared" si="2"/>
        <v>100</v>
      </c>
      <c r="N16" s="75">
        <v>0</v>
      </c>
      <c r="O16" s="74">
        <f t="shared" si="3"/>
        <v>0</v>
      </c>
      <c r="P16" s="16">
        <f t="shared" si="4"/>
        <v>-35.9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</row>
    <row r="17" spans="1:88" s="62" customFormat="1" ht="49.5">
      <c r="A17" s="17" t="s">
        <v>244</v>
      </c>
      <c r="B17" s="56" t="s">
        <v>105</v>
      </c>
      <c r="C17" s="42">
        <f>Лист1!F203/1000</f>
        <v>22.3</v>
      </c>
      <c r="D17" s="42">
        <f>Лист1!J203/1000</f>
        <v>22.3</v>
      </c>
      <c r="E17" s="43">
        <f>Лист1!V203/1000</f>
        <v>1E-3</v>
      </c>
      <c r="F17" s="1"/>
      <c r="G17" s="1"/>
      <c r="H17" s="2"/>
      <c r="I17" s="12" t="s">
        <v>244</v>
      </c>
      <c r="J17" s="61" t="s">
        <v>105</v>
      </c>
      <c r="K17" s="73">
        <f t="shared" si="0"/>
        <v>22.3</v>
      </c>
      <c r="L17" s="73">
        <f t="shared" si="1"/>
        <v>22.3</v>
      </c>
      <c r="M17" s="78">
        <f t="shared" si="2"/>
        <v>100</v>
      </c>
      <c r="N17" s="75">
        <v>12.4</v>
      </c>
      <c r="O17" s="74">
        <f t="shared" si="3"/>
        <v>0.55600000000000005</v>
      </c>
      <c r="P17" s="16">
        <f t="shared" si="4"/>
        <v>-9.9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</row>
    <row r="18" spans="1:88" ht="22.15" customHeight="1">
      <c r="C18" s="2"/>
      <c r="D18" s="2"/>
      <c r="E18" s="2"/>
      <c r="I18" s="3"/>
      <c r="J18" s="82"/>
      <c r="K18" s="3"/>
      <c r="L18" s="3"/>
      <c r="M18" s="3"/>
      <c r="N18" s="3"/>
      <c r="O18" s="3"/>
    </row>
    <row r="19" spans="1:88" ht="22.15" customHeight="1">
      <c r="C19" s="2"/>
      <c r="D19" s="2">
        <v>4395</v>
      </c>
      <c r="E19" s="2"/>
      <c r="K19" s="2">
        <f>N19-D19</f>
        <v>672.3</v>
      </c>
      <c r="N19" s="2">
        <v>5067.3</v>
      </c>
    </row>
    <row r="20" spans="1:88" ht="22.15" customHeight="1">
      <c r="C20" s="2"/>
      <c r="D20" s="2"/>
      <c r="E20" s="2"/>
    </row>
    <row r="21" spans="1:88" ht="21" customHeight="1">
      <c r="C21" s="2"/>
      <c r="D21" s="2"/>
      <c r="E21" s="2"/>
    </row>
    <row r="22" spans="1:88" ht="21" customHeight="1">
      <c r="C22" s="2"/>
      <c r="D22" s="2"/>
      <c r="E22" s="2"/>
    </row>
    <row r="23" spans="1:88" ht="21" customHeight="1">
      <c r="C23" s="2"/>
      <c r="D23" s="2"/>
      <c r="E23" s="2"/>
    </row>
    <row r="24" spans="1:88" ht="21" customHeight="1">
      <c r="C24" s="2"/>
      <c r="D24" s="2"/>
      <c r="E24" s="2"/>
    </row>
    <row r="25" spans="1:88" ht="17.45" customHeight="1">
      <c r="C25" s="2"/>
      <c r="D25" s="2"/>
      <c r="E25" s="2"/>
    </row>
    <row r="26" spans="1:88" ht="16.149999999999999" customHeight="1">
      <c r="C26" s="2"/>
      <c r="D26" s="2"/>
      <c r="E26" s="2"/>
    </row>
    <row r="27" spans="1:88" ht="17.45" customHeight="1">
      <c r="C27" s="2"/>
      <c r="D27" s="2"/>
      <c r="E27" s="2"/>
    </row>
    <row r="28" spans="1:88" ht="20.45" customHeight="1">
      <c r="C28" s="2"/>
      <c r="D28" s="2"/>
      <c r="E28" s="2"/>
    </row>
    <row r="29" spans="1:88" ht="16.149999999999999" customHeight="1">
      <c r="C29" s="2"/>
      <c r="D29" s="2"/>
      <c r="E29" s="2"/>
    </row>
    <row r="30" spans="1:88" ht="17.45" customHeight="1">
      <c r="C30" s="2"/>
      <c r="D30" s="2"/>
      <c r="E30" s="2"/>
    </row>
    <row r="31" spans="1:88" ht="17.45" customHeight="1">
      <c r="C31" s="2"/>
      <c r="D31" s="2"/>
      <c r="E31" s="2"/>
    </row>
    <row r="32" spans="1:88">
      <c r="C32" s="2"/>
      <c r="D32" s="2"/>
      <c r="E32" s="2"/>
    </row>
    <row r="33" spans="3:5">
      <c r="C33" s="2"/>
      <c r="D33" s="2"/>
      <c r="E33" s="2"/>
    </row>
    <row r="34" spans="3:5">
      <c r="C34" s="2"/>
      <c r="D34" s="2"/>
      <c r="E34" s="2"/>
    </row>
    <row r="35" spans="3:5">
      <c r="C35" s="2"/>
      <c r="D35" s="2"/>
      <c r="E35" s="2"/>
    </row>
    <row r="36" spans="3:5">
      <c r="C36" s="2"/>
      <c r="D36" s="2"/>
      <c r="E36" s="2"/>
    </row>
    <row r="37" spans="3:5">
      <c r="C37" s="2"/>
      <c r="D37" s="2"/>
      <c r="E37" s="2"/>
    </row>
    <row r="38" spans="3:5">
      <c r="C38" s="2"/>
      <c r="D38" s="2"/>
      <c r="E38" s="2"/>
    </row>
    <row r="39" spans="3:5">
      <c r="C39" s="2"/>
      <c r="D39" s="2"/>
      <c r="E39" s="2"/>
    </row>
    <row r="40" spans="3:5">
      <c r="C40" s="2"/>
      <c r="D40" s="2"/>
      <c r="E40" s="2"/>
    </row>
    <row r="41" spans="3:5">
      <c r="C41" s="2"/>
      <c r="D41" s="2"/>
      <c r="E41" s="2"/>
    </row>
    <row r="42" spans="3:5">
      <c r="C42" s="2"/>
      <c r="D42" s="2"/>
      <c r="E42" s="2"/>
    </row>
    <row r="43" spans="3:5">
      <c r="C43" s="2"/>
      <c r="D43" s="2"/>
      <c r="E43" s="2"/>
    </row>
    <row r="44" spans="3:5">
      <c r="C44" s="2"/>
      <c r="D44" s="2"/>
      <c r="E44" s="2"/>
    </row>
    <row r="45" spans="3:5">
      <c r="C45" s="2"/>
      <c r="D45" s="2"/>
      <c r="E45" s="2"/>
    </row>
    <row r="46" spans="3:5">
      <c r="C46" s="2"/>
      <c r="D46" s="2"/>
      <c r="E46" s="2"/>
    </row>
    <row r="47" spans="3:5">
      <c r="C47" s="2"/>
      <c r="D47" s="2"/>
      <c r="E47" s="2"/>
    </row>
    <row r="48" spans="3:5">
      <c r="C48" s="2"/>
      <c r="D48" s="2"/>
      <c r="E48" s="2"/>
    </row>
    <row r="49" spans="3:5">
      <c r="C49" s="2"/>
      <c r="D49" s="2"/>
      <c r="E49" s="2"/>
    </row>
  </sheetData>
  <customSheetViews>
    <customSheetView guid="{F6FA4751-5470-442B-8CE2-1DF7C5920E7E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1"/>
    </customSheetView>
    <customSheetView guid="{235DFFC8-6F08-4EDB-A56F-6D1F006DDE70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2"/>
    </customSheetView>
    <customSheetView guid="{93EA31E7-8B3D-4C73-8B82-ECC92251AB38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3"/>
    </customSheetView>
    <customSheetView guid="{CFE875CB-1045-45F7-825E-02100661E885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4"/>
    </customSheetView>
    <customSheetView guid="{FE09AB06-1ECE-4486-BCA1-E9D85830708B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5"/>
    </customSheetView>
    <customSheetView guid="{C3184F73-54AF-4F22-946A-A08664393BAF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6"/>
    </customSheetView>
    <customSheetView guid="{8DBC8541-9868-41A7-9A9F-A27FC80CBA37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7"/>
    </customSheetView>
  </customSheetViews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8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2021-11-09T02:14:22Z</cp:lastPrinted>
  <dcterms:created xsi:type="dcterms:W3CDTF">2006-09-28T05:33:49Z</dcterms:created>
  <dcterms:modified xsi:type="dcterms:W3CDTF">2023-02-20T03:37:07Z</dcterms:modified>
</cp:coreProperties>
</file>