
<file path=[Content_Types].xml><?xml version="1.0" encoding="utf-8"?>
<Types xmlns="http://schemas.openxmlformats.org/package/2006/content-types">
  <Override PartName="/xl/revisions/revisionLog1611.xml" ContentType="application/vnd.openxmlformats-officedocument.spreadsheetml.revisionLog+xml"/>
  <Override PartName="/xl/revisions/revisionLog1121.xml" ContentType="application/vnd.openxmlformats-officedocument.spreadsheetml.revisionLog+xml"/>
  <Override PartName="/xl/revisions/revisionLog16111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revisions/revisionLog14111.xml" ContentType="application/vnd.openxmlformats-officedocument.spreadsheetml.revisionLog+xml"/>
  <Override PartName="/xl/revisions/revisionLog141111.xml" ContentType="application/vnd.openxmlformats-officedocument.spreadsheetml.revisionLog+xml"/>
  <Override PartName="/xl/revisions/revisionLog1101.xml" ContentType="application/vnd.openxmlformats-officedocument.spreadsheetml.revisionLog+xml"/>
  <Default Extension="rels" ContentType="application/vnd.openxmlformats-package.relationships+xml"/>
  <Override PartName="/xl/revisions/revisionLog161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181.xml" ContentType="application/vnd.openxmlformats-officedocument.spreadsheetml.revisionLog+xml"/>
  <Override PartName="/xl/revisions/revisionLog1911.xml" ContentType="application/vnd.openxmlformats-officedocument.spreadsheetml.revisionLog+xml"/>
  <Override PartName="/xl/revisions/revisionLog11211.xml" ContentType="application/vnd.openxmlformats-officedocument.spreadsheetml.revisionLog+xml"/>
  <Override PartName="/xl/revisions/revisionLog114.xml" ContentType="application/vnd.openxmlformats-officedocument.spreadsheetml.revisionLog+xml"/>
  <Default Extension="xml" ContentType="application/xml"/>
  <Override PartName="/xl/revisions/revisionLog121.xml" ContentType="application/vnd.openxmlformats-officedocument.spreadsheetml.revisionLog+xml"/>
  <Override PartName="/xl/revisions/revisionLog141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112.xml" ContentType="application/vnd.openxmlformats-officedocument.spreadsheetml.revisionLog+xml"/>
  <Override PartName="/xl/revisions/revisionLog16111.xml" ContentType="application/vnd.openxmlformats-officedocument.spreadsheetml.revisionLog+xml"/>
  <Override PartName="/xl/revisions/revisionLog112111.xml" ContentType="application/vnd.openxmlformats-officedocument.spreadsheetml.revisionLog+xml"/>
  <Override PartName="/xl/worksheets/sheet2.xml" ContentType="application/vnd.openxmlformats-officedocument.spreadsheetml.worksheet+xml"/>
  <Override PartName="/xl/revisions/revisionHeaders.xml" ContentType="application/vnd.openxmlformats-officedocument.spreadsheetml.revisionHeaders+xml"/>
  <Override PartName="/xl/revisions/revisionLog14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110.xml" ContentType="application/vnd.openxmlformats-officedocument.spreadsheetml.revisionLog+xml"/>
  <Override PartName="/xl/revisions/revisionLog17111.xml" ContentType="application/vnd.openxmlformats-officedocument.spreadsheetml.revisionLog+xml"/>
  <Override PartName="/xl/revisions/revisionLog18111.xml" ContentType="application/vnd.openxmlformats-officedocument.spreadsheetml.revisionLog+xml"/>
  <Override PartName="/xl/revisions/revisionLog11011.xml" ContentType="application/vnd.openxmlformats-officedocument.spreadsheetml.revisionLog+xml"/>
  <Override PartName="/xl/revisions/revisionLog15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13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511.xml" ContentType="application/vnd.openxmlformats-officedocument.spreadsheetml.revisionLog+xml"/>
  <Override PartName="/xl/revisions/revisionLog19111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xl/revisions/revisionLog1411111.xml" ContentType="application/vnd.openxmlformats-officedocument.spreadsheetml.revisionLog+xml"/>
  <Override PartName="/xl/revisions/revisionLog191111.xml" ContentType="application/vnd.openxmlformats-officedocument.spreadsheetml.revisionLog+xml"/>
  <Override PartName="/docProps/core.xml" ContentType="application/vnd.openxmlformats-package.core-properties+xml"/>
  <Override PartName="/xl/revisions/revisionLog1311.xml" ContentType="application/vnd.openxmlformats-officedocument.spreadsheetml.revisionLog+xml"/>
  <Override PartName="/xl/revisions/revisionLog11111.xml" ContentType="application/vnd.openxmlformats-officedocument.spreadsheetml.revisionLog+xml"/>
  <Override PartName="/xl/revisions/revisionLog1811.xml" ContentType="application/vnd.openxmlformats-officedocument.spreadsheetml.revisionLog+xml"/>
  <Override PartName="/xl/revisions/revisionLog14111111.xml" ContentType="application/vnd.openxmlformats-officedocument.spreadsheetml.revisionLog+xml"/>
  <Override PartName="/xl/revisions/revisionLog171111.xml" ContentType="application/vnd.openxmlformats-officedocument.spreadsheetml.revisionLog+xml"/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3111.xml" ContentType="application/vnd.openxmlformats-officedocument.spreadsheetml.revisionLog+xml"/>
  <Override PartName="/xl/revisions/revisionLog151111.xml" ContentType="application/vnd.openxmlformats-officedocument.spreadsheetml.revisionLog+xml"/>
  <Override PartName="/xl/revisions/revisionLog191.xml" ContentType="application/vnd.openxmlformats-officedocument.spreadsheetml.revisionLog+xml"/>
  <Override PartName="/xl/revisions/revisionLog131111.xml" ContentType="application/vnd.openxmlformats-officedocument.spreadsheetml.revisionLog+xml"/>
  <Override PartName="/xl/revisions/revisionLog151.xml" ContentType="application/vnd.openxmlformats-officedocument.spreadsheetml.revisionLog+xml"/>
  <Override PartName="/xl/revisions/revisionLog1411.xml" ContentType="application/vnd.openxmlformats-officedocument.spreadsheetml.revisionLog+xml"/>
  <Override PartName="/xl/revisions/revisionLog171.xml" ContentType="application/vnd.openxmlformats-officedocument.spreadsheetml.revisionLog+xml"/>
  <Override PartName="/xl/revisions/revisionLog15111.xml" ContentType="application/vnd.openxmlformats-officedocument.spreadsheetml.revisionLog+xml"/>
  <Override PartName="/xl/revisions/revisionLog19.xml" ContentType="application/vnd.openxmlformats-officedocument.spreadsheetml.revisionLog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31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122.xml" ContentType="application/vnd.openxmlformats-officedocument.spreadsheetml.revisionLog+xml"/>
  <Override PartName="/xl/revisions/revisionLog1711.xml" ContentType="application/vnd.openxmlformats-officedocument.spreadsheetml.revisionLog+xml"/>
  <Override PartName="/xl/revisions/revisionLog1221.xml" ContentType="application/vnd.openxmlformats-officedocument.spreadsheetml.revisionLog+xml"/>
  <Override PartName="/xl/revisions/revisionLog12211.xml" ContentType="application/vnd.openxmlformats-officedocument.spreadsheetml.revisionLog+xml"/>
  <Override PartName="/xl/revisions/revisionLog11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240" yWindow="120" windowWidth="16095" windowHeight="12480"/>
  </bookViews>
  <sheets>
    <sheet name="Лист1" sheetId="1" r:id="rId1"/>
    <sheet name="Лист2" sheetId="2" r:id="rId2"/>
  </sheets>
  <definedNames>
    <definedName name="_xlnm._FilterDatabase" localSheetId="0" hidden="1">Лист1!$E$12:$E$216</definedName>
    <definedName name="Z_3027241F_6A93_44E3_83E2_FE914EE69D26_.wvu.FilterData" localSheetId="0" hidden="1">Лист1!$E$12:$E$216</definedName>
    <definedName name="Z_3F747095_E3CC_4B9E_A53F_3B01C7125B7E_.wvu.FilterData" localSheetId="0" hidden="1">Лист1!$E$12:$E$216</definedName>
    <definedName name="Z_8DBC8541_9868_41A7_9A9F_A27FC80CBA37_.wvu.FilterData" localSheetId="0" hidden="1">Лист1!$E$12:$E$216</definedName>
    <definedName name="Z_8DBC8541_9868_41A7_9A9F_A27FC80CBA37_.wvu.PrintArea" localSheetId="0" hidden="1">Лист1!$A$1:$V$216</definedName>
    <definedName name="Z_8DBC8541_9868_41A7_9A9F_A27FC80CBA37_.wvu.PrintTitles" localSheetId="0" hidden="1">Лист1!$4:$7</definedName>
    <definedName name="Z_907E1368_767E_4452_9DC4_AA65522B98D6_.wvu.FilterData" localSheetId="0" hidden="1">Лист1!$E$12:$E$216</definedName>
    <definedName name="Z_93EA31E7_8B3D_4C73_8B82_ECC92251AB38_.wvu.Cols" localSheetId="1" hidden="1">Лист2!$F:$G</definedName>
    <definedName name="Z_93EA31E7_8B3D_4C73_8B82_ECC92251AB38_.wvu.FilterData" localSheetId="0" hidden="1">Лист1!$E$12:$E$216</definedName>
    <definedName name="Z_93EA31E7_8B3D_4C73_8B82_ECC92251AB38_.wvu.PrintArea" localSheetId="0" hidden="1">Лист1!$A$1:$V$216</definedName>
    <definedName name="Z_93EA31E7_8B3D_4C73_8B82_ECC92251AB38_.wvu.PrintArea" localSheetId="1" hidden="1">Лист2!$A$1:$O$19</definedName>
    <definedName name="Z_93EA31E7_8B3D_4C73_8B82_ECC92251AB38_.wvu.PrintTitles" localSheetId="0" hidden="1">Лист1!$4:$7</definedName>
    <definedName name="Z_B9542FD4_B35D_4FBF_9CFC_EED299928791_.wvu.FilterData" localSheetId="0" hidden="1">Лист1!$E$12:$E$216</definedName>
    <definedName name="Z_CFE875CB_1045_45F7_825E_02100661E885_.wvu.Cols" localSheetId="1" hidden="1">Лист2!$F:$G</definedName>
    <definedName name="Z_CFE875CB_1045_45F7_825E_02100661E885_.wvu.FilterData" localSheetId="0" hidden="1">Лист1!$A$7:$V$219</definedName>
    <definedName name="Z_CFE875CB_1045_45F7_825E_02100661E885_.wvu.PrintArea" localSheetId="0" hidden="1">Лист1!$A$1:$V$216</definedName>
    <definedName name="Z_CFE875CB_1045_45F7_825E_02100661E885_.wvu.PrintArea" localSheetId="1" hidden="1">Лист2!$A$1:$O$19</definedName>
    <definedName name="Z_CFE875CB_1045_45F7_825E_02100661E885_.wvu.PrintTitles" localSheetId="0" hidden="1">Лист1!$4:$7</definedName>
    <definedName name="Z_F6FA4751_5470_442B_8CE2_1DF7C5920E7E_.wvu.Cols" localSheetId="1" hidden="1">Лист2!$F:$G</definedName>
    <definedName name="Z_F6FA4751_5470_442B_8CE2_1DF7C5920E7E_.wvu.FilterData" localSheetId="0" hidden="1">Лист1!$E$12:$E$216</definedName>
    <definedName name="Z_F6FA4751_5470_442B_8CE2_1DF7C5920E7E_.wvu.PrintArea" localSheetId="0" hidden="1">Лист1!$A$1:$V$216</definedName>
    <definedName name="Z_F6FA4751_5470_442B_8CE2_1DF7C5920E7E_.wvu.PrintArea" localSheetId="1" hidden="1">Лист2!$A$1:$O$19</definedName>
    <definedName name="Z_F6FA4751_5470_442B_8CE2_1DF7C5920E7E_.wvu.PrintTitles" localSheetId="0" hidden="1">Лист1!$4:$7</definedName>
    <definedName name="Z_FE09AB06_1ECE_4486_BCA1_E9D85830708B_.wvu.Cols" localSheetId="1" hidden="1">Лист2!$F:$G</definedName>
    <definedName name="Z_FE09AB06_1ECE_4486_BCA1_E9D85830708B_.wvu.FilterData" localSheetId="0" hidden="1">Лист1!$E$12:$E$216</definedName>
    <definedName name="Z_FE09AB06_1ECE_4486_BCA1_E9D85830708B_.wvu.PrintArea" localSheetId="0" hidden="1">Лист1!$A$1:$V$216</definedName>
    <definedName name="Z_FE09AB06_1ECE_4486_BCA1_E9D85830708B_.wvu.PrintArea" localSheetId="1" hidden="1">Лист2!$A$1:$O$19</definedName>
    <definedName name="Z_FE09AB06_1ECE_4486_BCA1_E9D85830708B_.wvu.PrintTitles" localSheetId="0" hidden="1">Лист1!$4:$7</definedName>
    <definedName name="_xlnm.Print_Titles" localSheetId="0">Лист1!$4:$7</definedName>
    <definedName name="_xlnm.Print_Area" localSheetId="0">Лист1!$A$1:$V$216</definedName>
    <definedName name="_xlnm.Print_Area" localSheetId="1">Лист2!$A$1:$O$19</definedName>
  </definedNames>
  <calcPr calcId="125725" fullPrecision="0"/>
  <customWorkbookViews>
    <customWorkbookView name="nma - Личное представление" guid="{FE09AB06-1ECE-4486-BCA1-E9D85830708B}" mergeInterval="0" personalView="1" maximized="1" xWindow="1" yWindow="1" windowWidth="1916" windowHeight="850" activeSheetId="1"/>
    <customWorkbookView name="gmp - Личное представление" guid="{8DBC8541-9868-41A7-9A9F-A27FC80CBA37}" mergeInterval="0" personalView="1" maximized="1" xWindow="1" yWindow="1" windowWidth="1916" windowHeight="845" activeSheetId="2"/>
    <customWorkbookView name="yoa - Личное представление" guid="{93EA31E7-8B3D-4C73-8B82-ECC92251AB38}" mergeInterval="0" personalView="1" maximized="1" xWindow="1" yWindow="1" windowWidth="1916" windowHeight="802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pvn - Личное представление" guid="{F6FA4751-5470-442B-8CE2-1DF7C5920E7E}" mergeInterval="0" personalView="1" maximized="1" xWindow="1" yWindow="1" windowWidth="1916" windowHeight="846" activeSheetId="1"/>
  </customWorkbookViews>
</workbook>
</file>

<file path=xl/calcChain.xml><?xml version="1.0" encoding="utf-8"?>
<calcChain xmlns="http://schemas.openxmlformats.org/spreadsheetml/2006/main">
  <c r="U103" i="1"/>
  <c r="T103"/>
  <c r="S103"/>
  <c r="Q103"/>
  <c r="P103"/>
  <c r="O103"/>
  <c r="M103"/>
  <c r="L103"/>
  <c r="K103"/>
  <c r="G103"/>
  <c r="I103"/>
  <c r="H103"/>
  <c r="R106"/>
  <c r="N106"/>
  <c r="J106"/>
  <c r="F106"/>
  <c r="N207"/>
  <c r="N206"/>
  <c r="J207"/>
  <c r="J206"/>
  <c r="F207"/>
  <c r="F206"/>
  <c r="G147"/>
  <c r="R144"/>
  <c r="N144"/>
  <c r="J144"/>
  <c r="U142"/>
  <c r="T142"/>
  <c r="S142"/>
  <c r="Q142"/>
  <c r="P142"/>
  <c r="O142"/>
  <c r="M142"/>
  <c r="L142"/>
  <c r="K142"/>
  <c r="G142"/>
  <c r="I142"/>
  <c r="H142"/>
  <c r="F144"/>
  <c r="I16"/>
  <c r="I69"/>
  <c r="V144" l="1"/>
  <c r="J142"/>
  <c r="F142"/>
  <c r="V106"/>
  <c r="N105"/>
  <c r="R103"/>
  <c r="R105"/>
  <c r="N102"/>
  <c r="J102"/>
  <c r="J105"/>
  <c r="F105"/>
  <c r="G31"/>
  <c r="R34"/>
  <c r="N34"/>
  <c r="J34"/>
  <c r="F34"/>
  <c r="J27"/>
  <c r="J107"/>
  <c r="R208"/>
  <c r="N208"/>
  <c r="J208"/>
  <c r="F208"/>
  <c r="R170"/>
  <c r="N170"/>
  <c r="J170"/>
  <c r="F170"/>
  <c r="F171"/>
  <c r="J171"/>
  <c r="N171"/>
  <c r="R171"/>
  <c r="H67"/>
  <c r="R64"/>
  <c r="N64"/>
  <c r="J64"/>
  <c r="F64"/>
  <c r="V170" l="1"/>
  <c r="V105"/>
  <c r="F103"/>
  <c r="V208"/>
  <c r="V171"/>
  <c r="V64"/>
  <c r="L139"/>
  <c r="L134"/>
  <c r="R121"/>
  <c r="N121"/>
  <c r="J121"/>
  <c r="F121"/>
  <c r="V121" l="1"/>
  <c r="L133"/>
  <c r="R65"/>
  <c r="N65"/>
  <c r="J65"/>
  <c r="F65"/>
  <c r="V65" l="1"/>
  <c r="I147"/>
  <c r="M147"/>
  <c r="L96" l="1"/>
  <c r="K116" l="1"/>
  <c r="K96"/>
  <c r="K18"/>
  <c r="T67" l="1"/>
  <c r="P67"/>
  <c r="P59"/>
  <c r="T58"/>
  <c r="P58"/>
  <c r="O58"/>
  <c r="H58"/>
  <c r="O67"/>
  <c r="G113"/>
  <c r="K164"/>
  <c r="O164"/>
  <c r="M164"/>
  <c r="P164"/>
  <c r="Q164"/>
  <c r="T164"/>
  <c r="U164"/>
  <c r="S164"/>
  <c r="L164"/>
  <c r="H164"/>
  <c r="I164"/>
  <c r="G164"/>
  <c r="R175"/>
  <c r="N175"/>
  <c r="J175"/>
  <c r="F175"/>
  <c r="R173"/>
  <c r="N173"/>
  <c r="J173"/>
  <c r="F173"/>
  <c r="V173" l="1"/>
  <c r="V175"/>
  <c r="R107"/>
  <c r="N107"/>
  <c r="N103" s="1"/>
  <c r="F107"/>
  <c r="R82" l="1"/>
  <c r="N82"/>
  <c r="F82"/>
  <c r="S67"/>
  <c r="G67"/>
  <c r="G58"/>
  <c r="V82" l="1"/>
  <c r="O59"/>
  <c r="S58"/>
  <c r="R51" l="1"/>
  <c r="N51"/>
  <c r="J51"/>
  <c r="F51"/>
  <c r="R150"/>
  <c r="N150"/>
  <c r="J150"/>
  <c r="F150"/>
  <c r="O71"/>
  <c r="V51" l="1"/>
  <c r="V150"/>
  <c r="G49"/>
  <c r="R50"/>
  <c r="N50"/>
  <c r="J50"/>
  <c r="F50"/>
  <c r="V50" l="1"/>
  <c r="G45"/>
  <c r="K128"/>
  <c r="K19"/>
  <c r="H45" l="1"/>
  <c r="G14" l="1"/>
  <c r="G13"/>
  <c r="G12"/>
  <c r="F28"/>
  <c r="J28"/>
  <c r="N28"/>
  <c r="R28"/>
  <c r="F29"/>
  <c r="J29"/>
  <c r="N29"/>
  <c r="R29"/>
  <c r="F73"/>
  <c r="J73"/>
  <c r="N73"/>
  <c r="R73"/>
  <c r="T46"/>
  <c r="U46"/>
  <c r="S46"/>
  <c r="P46"/>
  <c r="Q46"/>
  <c r="O46"/>
  <c r="L46"/>
  <c r="M46"/>
  <c r="K46"/>
  <c r="H46"/>
  <c r="I46"/>
  <c r="G46"/>
  <c r="F52"/>
  <c r="J52"/>
  <c r="N52"/>
  <c r="R52"/>
  <c r="O156"/>
  <c r="P192"/>
  <c r="O192"/>
  <c r="L192"/>
  <c r="M192"/>
  <c r="K192"/>
  <c r="H66"/>
  <c r="G152"/>
  <c r="S151"/>
  <c r="O151"/>
  <c r="G151"/>
  <c r="G97"/>
  <c r="K97"/>
  <c r="G81"/>
  <c r="G19"/>
  <c r="F63"/>
  <c r="J63"/>
  <c r="N63"/>
  <c r="R63"/>
  <c r="O61"/>
  <c r="F49"/>
  <c r="J49"/>
  <c r="N49"/>
  <c r="R49"/>
  <c r="V73" l="1"/>
  <c r="V29"/>
  <c r="V49"/>
  <c r="V52"/>
  <c r="V28"/>
  <c r="V63"/>
  <c r="F67"/>
  <c r="F78"/>
  <c r="J78"/>
  <c r="N78"/>
  <c r="R78"/>
  <c r="S83"/>
  <c r="O83"/>
  <c r="G83"/>
  <c r="G56"/>
  <c r="F66"/>
  <c r="J66"/>
  <c r="N66"/>
  <c r="R66"/>
  <c r="G198"/>
  <c r="V78" l="1"/>
  <c r="V66"/>
  <c r="L53"/>
  <c r="K53"/>
  <c r="G53"/>
  <c r="T128"/>
  <c r="U128"/>
  <c r="S128"/>
  <c r="P128"/>
  <c r="Q128"/>
  <c r="O128"/>
  <c r="L128"/>
  <c r="M128"/>
  <c r="H128"/>
  <c r="I128"/>
  <c r="G128"/>
  <c r="R131"/>
  <c r="N131"/>
  <c r="J131"/>
  <c r="F131"/>
  <c r="F128" l="1"/>
  <c r="V131"/>
  <c r="Q192" l="1"/>
  <c r="T192"/>
  <c r="U192"/>
  <c r="S192"/>
  <c r="R194"/>
  <c r="R195"/>
  <c r="R196"/>
  <c r="R197"/>
  <c r="R198"/>
  <c r="R199"/>
  <c r="R200"/>
  <c r="N194"/>
  <c r="N195"/>
  <c r="N196"/>
  <c r="N197"/>
  <c r="N198"/>
  <c r="N199"/>
  <c r="N200"/>
  <c r="J194"/>
  <c r="J195"/>
  <c r="J196"/>
  <c r="J197"/>
  <c r="J198"/>
  <c r="J199"/>
  <c r="J200"/>
  <c r="H192"/>
  <c r="I192"/>
  <c r="G192"/>
  <c r="F194"/>
  <c r="F195"/>
  <c r="F196"/>
  <c r="F197"/>
  <c r="F198"/>
  <c r="F199"/>
  <c r="F200"/>
  <c r="G185"/>
  <c r="T181"/>
  <c r="U181"/>
  <c r="S181"/>
  <c r="P181"/>
  <c r="Q181"/>
  <c r="O181"/>
  <c r="L181"/>
  <c r="M181"/>
  <c r="K181"/>
  <c r="H181"/>
  <c r="I181"/>
  <c r="G181"/>
  <c r="R183"/>
  <c r="N183"/>
  <c r="J183"/>
  <c r="F183"/>
  <c r="R166"/>
  <c r="N166"/>
  <c r="J166"/>
  <c r="F166"/>
  <c r="T147"/>
  <c r="U147"/>
  <c r="S147"/>
  <c r="P147"/>
  <c r="Q147"/>
  <c r="O147"/>
  <c r="L147"/>
  <c r="K147"/>
  <c r="H147"/>
  <c r="G158"/>
  <c r="N161"/>
  <c r="R161"/>
  <c r="J161"/>
  <c r="F161"/>
  <c r="R149"/>
  <c r="R151"/>
  <c r="R152"/>
  <c r="R153"/>
  <c r="N149"/>
  <c r="N151"/>
  <c r="N152"/>
  <c r="J149"/>
  <c r="J151"/>
  <c r="J152"/>
  <c r="F149"/>
  <c r="F151"/>
  <c r="F152"/>
  <c r="T139"/>
  <c r="U139"/>
  <c r="S139"/>
  <c r="P139"/>
  <c r="Q139"/>
  <c r="O139"/>
  <c r="R141"/>
  <c r="M139"/>
  <c r="K139"/>
  <c r="H139"/>
  <c r="I139"/>
  <c r="G139"/>
  <c r="R130"/>
  <c r="N130"/>
  <c r="J130"/>
  <c r="F130"/>
  <c r="R126"/>
  <c r="N126"/>
  <c r="J126"/>
  <c r="F126"/>
  <c r="G123"/>
  <c r="T118"/>
  <c r="U118"/>
  <c r="S118"/>
  <c r="P118"/>
  <c r="Q118"/>
  <c r="O118"/>
  <c r="R120"/>
  <c r="N120"/>
  <c r="L118"/>
  <c r="M118"/>
  <c r="K118"/>
  <c r="J120"/>
  <c r="H118"/>
  <c r="I118"/>
  <c r="I117" s="1"/>
  <c r="G118"/>
  <c r="F120"/>
  <c r="T114"/>
  <c r="U114"/>
  <c r="S114"/>
  <c r="T109"/>
  <c r="U109"/>
  <c r="S109"/>
  <c r="P109"/>
  <c r="Q109"/>
  <c r="O109"/>
  <c r="R111"/>
  <c r="R112"/>
  <c r="R113"/>
  <c r="N111"/>
  <c r="N112"/>
  <c r="N113"/>
  <c r="J111"/>
  <c r="J112"/>
  <c r="J113"/>
  <c r="L109"/>
  <c r="M109"/>
  <c r="K109"/>
  <c r="H109"/>
  <c r="I109"/>
  <c r="G109"/>
  <c r="F111"/>
  <c r="F112"/>
  <c r="F113"/>
  <c r="H69"/>
  <c r="G69"/>
  <c r="K69"/>
  <c r="L69"/>
  <c r="M69"/>
  <c r="O69"/>
  <c r="Q69"/>
  <c r="S69"/>
  <c r="U69"/>
  <c r="T69"/>
  <c r="P69"/>
  <c r="O53"/>
  <c r="T53"/>
  <c r="S53"/>
  <c r="P53"/>
  <c r="V111" l="1"/>
  <c r="V151"/>
  <c r="V197"/>
  <c r="N181"/>
  <c r="V200"/>
  <c r="V196"/>
  <c r="V149"/>
  <c r="V198"/>
  <c r="V194"/>
  <c r="V199"/>
  <c r="V195"/>
  <c r="V152"/>
  <c r="F181"/>
  <c r="V166"/>
  <c r="V126"/>
  <c r="V183"/>
  <c r="J181"/>
  <c r="V161"/>
  <c r="U117"/>
  <c r="G117"/>
  <c r="Q117"/>
  <c r="M117"/>
  <c r="V120"/>
  <c r="U108"/>
  <c r="V130"/>
  <c r="T108"/>
  <c r="S108"/>
  <c r="V113"/>
  <c r="N69"/>
  <c r="V112"/>
  <c r="F58"/>
  <c r="R48"/>
  <c r="R60"/>
  <c r="R61"/>
  <c r="N60"/>
  <c r="N61"/>
  <c r="J60"/>
  <c r="J61"/>
  <c r="F60"/>
  <c r="F61"/>
  <c r="F62"/>
  <c r="J62"/>
  <c r="N62"/>
  <c r="R62"/>
  <c r="T56"/>
  <c r="U56"/>
  <c r="S56"/>
  <c r="P56"/>
  <c r="Q56"/>
  <c r="O56"/>
  <c r="H56"/>
  <c r="I56"/>
  <c r="K56"/>
  <c r="L56"/>
  <c r="M56"/>
  <c r="H53"/>
  <c r="I53"/>
  <c r="R58"/>
  <c r="R59"/>
  <c r="N58"/>
  <c r="N59"/>
  <c r="J58"/>
  <c r="J59"/>
  <c r="F59"/>
  <c r="R13"/>
  <c r="R14"/>
  <c r="R15"/>
  <c r="R12"/>
  <c r="N13"/>
  <c r="N14"/>
  <c r="N15"/>
  <c r="N12"/>
  <c r="J13"/>
  <c r="J14"/>
  <c r="J15"/>
  <c r="J12"/>
  <c r="F13"/>
  <c r="F14"/>
  <c r="F15"/>
  <c r="F12"/>
  <c r="F18"/>
  <c r="V59" l="1"/>
  <c r="F53"/>
  <c r="V181"/>
  <c r="V61"/>
  <c r="V62"/>
  <c r="F56"/>
  <c r="V58"/>
  <c r="V60"/>
  <c r="R56"/>
  <c r="J56"/>
  <c r="N56"/>
  <c r="V56" l="1"/>
  <c r="F36"/>
  <c r="J36"/>
  <c r="R36"/>
  <c r="N36"/>
  <c r="V36" l="1"/>
  <c r="F172" l="1"/>
  <c r="J172"/>
  <c r="N172"/>
  <c r="R172"/>
  <c r="V172" l="1"/>
  <c r="F33"/>
  <c r="H31"/>
  <c r="P114" l="1"/>
  <c r="P108" s="1"/>
  <c r="Q114"/>
  <c r="Q108" s="1"/>
  <c r="O114"/>
  <c r="O108" s="1"/>
  <c r="L114"/>
  <c r="L108" s="1"/>
  <c r="M114"/>
  <c r="M108" s="1"/>
  <c r="K114"/>
  <c r="K108" s="1"/>
  <c r="H114"/>
  <c r="H108" s="1"/>
  <c r="I114"/>
  <c r="I108" s="1"/>
  <c r="F116"/>
  <c r="J116"/>
  <c r="N116"/>
  <c r="R116"/>
  <c r="G114" l="1"/>
  <c r="G108" s="1"/>
  <c r="V116"/>
  <c r="G10" l="1"/>
  <c r="F75"/>
  <c r="J75"/>
  <c r="N75"/>
  <c r="R75"/>
  <c r="F76"/>
  <c r="J76"/>
  <c r="N76"/>
  <c r="R76"/>
  <c r="V14" l="1"/>
  <c r="V76"/>
  <c r="V75"/>
  <c r="K19" i="2"/>
  <c r="I25" i="1" l="1"/>
  <c r="F169" l="1"/>
  <c r="J169"/>
  <c r="N169"/>
  <c r="R169"/>
  <c r="F81"/>
  <c r="J81"/>
  <c r="N81"/>
  <c r="R81"/>
  <c r="U188"/>
  <c r="Q188"/>
  <c r="L188"/>
  <c r="M188"/>
  <c r="K188"/>
  <c r="I188"/>
  <c r="F190"/>
  <c r="J190"/>
  <c r="N190"/>
  <c r="R190"/>
  <c r="V169" l="1"/>
  <c r="V81"/>
  <c r="T188"/>
  <c r="O188"/>
  <c r="S188"/>
  <c r="P188"/>
  <c r="V190"/>
  <c r="H188"/>
  <c r="F30" l="1"/>
  <c r="J30"/>
  <c r="N30"/>
  <c r="R30"/>
  <c r="R127"/>
  <c r="N127"/>
  <c r="J127"/>
  <c r="F127"/>
  <c r="M10"/>
  <c r="H10"/>
  <c r="R84"/>
  <c r="N84"/>
  <c r="J84"/>
  <c r="F84"/>
  <c r="G188"/>
  <c r="F188" s="1"/>
  <c r="V30" l="1"/>
  <c r="V84"/>
  <c r="V127"/>
  <c r="F83" l="1"/>
  <c r="J83"/>
  <c r="N83"/>
  <c r="R83"/>
  <c r="V83" l="1"/>
  <c r="G25" l="1"/>
  <c r="F125" l="1"/>
  <c r="R214"/>
  <c r="R213"/>
  <c r="R209"/>
  <c r="R205"/>
  <c r="R201"/>
  <c r="R191"/>
  <c r="R187"/>
  <c r="R180"/>
  <c r="R179"/>
  <c r="R178"/>
  <c r="R174"/>
  <c r="R168"/>
  <c r="R167"/>
  <c r="R162"/>
  <c r="R160"/>
  <c r="R157"/>
  <c r="R156"/>
  <c r="R145"/>
  <c r="R137"/>
  <c r="R136"/>
  <c r="R132"/>
  <c r="R125"/>
  <c r="R122"/>
  <c r="R102"/>
  <c r="R99"/>
  <c r="R98"/>
  <c r="R97"/>
  <c r="R96"/>
  <c r="R95"/>
  <c r="R94"/>
  <c r="R91"/>
  <c r="R90"/>
  <c r="R89"/>
  <c r="R88"/>
  <c r="R87"/>
  <c r="R80"/>
  <c r="R79"/>
  <c r="R77"/>
  <c r="R74"/>
  <c r="R72"/>
  <c r="R71"/>
  <c r="R67"/>
  <c r="R55"/>
  <c r="R45"/>
  <c r="R44"/>
  <c r="R41"/>
  <c r="R40"/>
  <c r="R35"/>
  <c r="R33"/>
  <c r="R27"/>
  <c r="R24"/>
  <c r="R23"/>
  <c r="R22"/>
  <c r="R21"/>
  <c r="R20"/>
  <c r="R19"/>
  <c r="R18"/>
  <c r="U211"/>
  <c r="U210" s="1"/>
  <c r="U203"/>
  <c r="U202" s="1"/>
  <c r="U185"/>
  <c r="U176"/>
  <c r="U158"/>
  <c r="U154"/>
  <c r="U134"/>
  <c r="U100"/>
  <c r="U92"/>
  <c r="U85"/>
  <c r="U53"/>
  <c r="U42"/>
  <c r="U38"/>
  <c r="U31"/>
  <c r="U25"/>
  <c r="U16"/>
  <c r="U10"/>
  <c r="N214"/>
  <c r="N213"/>
  <c r="N209"/>
  <c r="N205"/>
  <c r="N201"/>
  <c r="N191"/>
  <c r="N187"/>
  <c r="N180"/>
  <c r="N179"/>
  <c r="N178"/>
  <c r="N174"/>
  <c r="N168"/>
  <c r="N167"/>
  <c r="N162"/>
  <c r="N160"/>
  <c r="N157"/>
  <c r="N156"/>
  <c r="N153"/>
  <c r="N145"/>
  <c r="N141"/>
  <c r="N137"/>
  <c r="N136"/>
  <c r="N132"/>
  <c r="N125"/>
  <c r="N122"/>
  <c r="N99"/>
  <c r="N98"/>
  <c r="N97"/>
  <c r="N96"/>
  <c r="N95"/>
  <c r="N94"/>
  <c r="N91"/>
  <c r="N90"/>
  <c r="N89"/>
  <c r="N88"/>
  <c r="N87"/>
  <c r="N80"/>
  <c r="N79"/>
  <c r="N77"/>
  <c r="N74"/>
  <c r="N72"/>
  <c r="N71"/>
  <c r="N67"/>
  <c r="N55"/>
  <c r="N48"/>
  <c r="N45"/>
  <c r="N44"/>
  <c r="N41"/>
  <c r="N40"/>
  <c r="N35"/>
  <c r="N33"/>
  <c r="N27"/>
  <c r="N24"/>
  <c r="N23"/>
  <c r="N22"/>
  <c r="N21"/>
  <c r="N20"/>
  <c r="N19"/>
  <c r="N18"/>
  <c r="Q211"/>
  <c r="Q210" s="1"/>
  <c r="Q203"/>
  <c r="Q202" s="1"/>
  <c r="Q185"/>
  <c r="Q176"/>
  <c r="Q158"/>
  <c r="Q154"/>
  <c r="Q134"/>
  <c r="Q100"/>
  <c r="Q92"/>
  <c r="Q85"/>
  <c r="Q53"/>
  <c r="Q42"/>
  <c r="Q38"/>
  <c r="Q31"/>
  <c r="Q25"/>
  <c r="Q16"/>
  <c r="Q10"/>
  <c r="J214"/>
  <c r="J213"/>
  <c r="M211"/>
  <c r="M210" s="1"/>
  <c r="L211"/>
  <c r="L210" s="1"/>
  <c r="K211"/>
  <c r="K210" s="1"/>
  <c r="J209"/>
  <c r="J205"/>
  <c r="M203"/>
  <c r="M202" s="1"/>
  <c r="L203"/>
  <c r="L202" s="1"/>
  <c r="K203"/>
  <c r="K202" s="1"/>
  <c r="J201"/>
  <c r="J191"/>
  <c r="J187"/>
  <c r="M185"/>
  <c r="L185"/>
  <c r="K185"/>
  <c r="J180"/>
  <c r="J179"/>
  <c r="J178"/>
  <c r="M176"/>
  <c r="M163" s="1"/>
  <c r="L176"/>
  <c r="L163" s="1"/>
  <c r="K176"/>
  <c r="K163" s="1"/>
  <c r="J174"/>
  <c r="J168"/>
  <c r="J167"/>
  <c r="J162"/>
  <c r="J160"/>
  <c r="M158"/>
  <c r="L158"/>
  <c r="K158"/>
  <c r="J157"/>
  <c r="J156"/>
  <c r="M154"/>
  <c r="L154"/>
  <c r="K154"/>
  <c r="J153"/>
  <c r="J145"/>
  <c r="J141"/>
  <c r="J137"/>
  <c r="J136"/>
  <c r="M134"/>
  <c r="K134"/>
  <c r="J132"/>
  <c r="J125"/>
  <c r="L123"/>
  <c r="L117" s="1"/>
  <c r="K123"/>
  <c r="K117" s="1"/>
  <c r="J122"/>
  <c r="M100"/>
  <c r="L100"/>
  <c r="K100"/>
  <c r="J99"/>
  <c r="J98"/>
  <c r="J97"/>
  <c r="J96"/>
  <c r="J95"/>
  <c r="J94"/>
  <c r="M92"/>
  <c r="L92"/>
  <c r="K92"/>
  <c r="J91"/>
  <c r="J90"/>
  <c r="J89"/>
  <c r="J88"/>
  <c r="J87"/>
  <c r="M85"/>
  <c r="L85"/>
  <c r="K85"/>
  <c r="J80"/>
  <c r="J79"/>
  <c r="J77"/>
  <c r="J74"/>
  <c r="J72"/>
  <c r="J71"/>
  <c r="J67"/>
  <c r="J55"/>
  <c r="M53"/>
  <c r="J48"/>
  <c r="J45"/>
  <c r="J44"/>
  <c r="M42"/>
  <c r="L42"/>
  <c r="K42"/>
  <c r="J41"/>
  <c r="J40"/>
  <c r="M38"/>
  <c r="L38"/>
  <c r="K38"/>
  <c r="J35"/>
  <c r="J33"/>
  <c r="M31"/>
  <c r="L31"/>
  <c r="K31"/>
  <c r="M25"/>
  <c r="L25"/>
  <c r="K25"/>
  <c r="J24"/>
  <c r="J23"/>
  <c r="J22"/>
  <c r="J21"/>
  <c r="J20"/>
  <c r="J19"/>
  <c r="J18"/>
  <c r="M16"/>
  <c r="L16"/>
  <c r="K16"/>
  <c r="L10"/>
  <c r="K10"/>
  <c r="F19"/>
  <c r="F20"/>
  <c r="F21"/>
  <c r="F22"/>
  <c r="F23"/>
  <c r="F24"/>
  <c r="F27"/>
  <c r="F35"/>
  <c r="F40"/>
  <c r="F41"/>
  <c r="F44"/>
  <c r="F45"/>
  <c r="F48"/>
  <c r="F55"/>
  <c r="F71"/>
  <c r="F72"/>
  <c r="F74"/>
  <c r="F77"/>
  <c r="F79"/>
  <c r="F80"/>
  <c r="F87"/>
  <c r="F88"/>
  <c r="F89"/>
  <c r="F90"/>
  <c r="F91"/>
  <c r="F94"/>
  <c r="F95"/>
  <c r="F96"/>
  <c r="F97"/>
  <c r="F98"/>
  <c r="F99"/>
  <c r="F102"/>
  <c r="F122"/>
  <c r="F132"/>
  <c r="F136"/>
  <c r="F137"/>
  <c r="F141"/>
  <c r="F145"/>
  <c r="F153"/>
  <c r="F156"/>
  <c r="F157"/>
  <c r="F160"/>
  <c r="F162"/>
  <c r="F167"/>
  <c r="F168"/>
  <c r="F174"/>
  <c r="F178"/>
  <c r="F179"/>
  <c r="F180"/>
  <c r="F187"/>
  <c r="F191"/>
  <c r="F201"/>
  <c r="F205"/>
  <c r="F209"/>
  <c r="F213"/>
  <c r="F214"/>
  <c r="I211"/>
  <c r="I210" s="1"/>
  <c r="I203"/>
  <c r="I202" s="1"/>
  <c r="I185"/>
  <c r="I184" s="1"/>
  <c r="I176"/>
  <c r="I163" s="1"/>
  <c r="I158"/>
  <c r="I146" s="1"/>
  <c r="I154"/>
  <c r="I134"/>
  <c r="I133" s="1"/>
  <c r="I100"/>
  <c r="I92"/>
  <c r="I85"/>
  <c r="I42"/>
  <c r="I38"/>
  <c r="I31"/>
  <c r="F31" s="1"/>
  <c r="I10"/>
  <c r="M68" l="1"/>
  <c r="I37"/>
  <c r="M9"/>
  <c r="F10"/>
  <c r="I9"/>
  <c r="I68"/>
  <c r="V88"/>
  <c r="V89"/>
  <c r="V214"/>
  <c r="V167"/>
  <c r="V141"/>
  <c r="V79"/>
  <c r="V174"/>
  <c r="V213"/>
  <c r="Q163"/>
  <c r="V160"/>
  <c r="V132"/>
  <c r="V168"/>
  <c r="V102"/>
  <c r="M37"/>
  <c r="Q37"/>
  <c r="L37"/>
  <c r="K37"/>
  <c r="U37"/>
  <c r="K184"/>
  <c r="Q9"/>
  <c r="R69"/>
  <c r="V77"/>
  <c r="K133"/>
  <c r="Q133"/>
  <c r="Q184"/>
  <c r="M133"/>
  <c r="M184"/>
  <c r="L184"/>
  <c r="U184"/>
  <c r="U133"/>
  <c r="L9"/>
  <c r="K9"/>
  <c r="U9"/>
  <c r="V156"/>
  <c r="V15"/>
  <c r="V90"/>
  <c r="V153"/>
  <c r="V55"/>
  <c r="V40"/>
  <c r="V27"/>
  <c r="V20"/>
  <c r="V41"/>
  <c r="V45"/>
  <c r="V122"/>
  <c r="V13"/>
  <c r="V67"/>
  <c r="V71"/>
  <c r="V80"/>
  <c r="V91"/>
  <c r="V137"/>
  <c r="V157"/>
  <c r="V162"/>
  <c r="V178"/>
  <c r="V48"/>
  <c r="V205"/>
  <c r="V125"/>
  <c r="V35"/>
  <c r="V12"/>
  <c r="V33"/>
  <c r="V87"/>
  <c r="V95"/>
  <c r="V98"/>
  <c r="V180"/>
  <c r="V187"/>
  <c r="V96"/>
  <c r="V19"/>
  <c r="V22"/>
  <c r="V24"/>
  <c r="V44"/>
  <c r="V74"/>
  <c r="V94"/>
  <c r="V97"/>
  <c r="V136"/>
  <c r="V145"/>
  <c r="V18"/>
  <c r="V21"/>
  <c r="V23"/>
  <c r="V72"/>
  <c r="V99"/>
  <c r="M146"/>
  <c r="V179"/>
  <c r="V201"/>
  <c r="V209"/>
  <c r="U146"/>
  <c r="J192"/>
  <c r="J211"/>
  <c r="J100"/>
  <c r="Q146"/>
  <c r="J118"/>
  <c r="J114"/>
  <c r="J176"/>
  <c r="J25"/>
  <c r="J109"/>
  <c r="J128"/>
  <c r="J139"/>
  <c r="J53"/>
  <c r="L146"/>
  <c r="J158"/>
  <c r="J188"/>
  <c r="J164"/>
  <c r="K146"/>
  <c r="J147"/>
  <c r="J134"/>
  <c r="J92"/>
  <c r="J85"/>
  <c r="J69"/>
  <c r="J46"/>
  <c r="J42"/>
  <c r="J38"/>
  <c r="J31"/>
  <c r="J16"/>
  <c r="J10"/>
  <c r="J154"/>
  <c r="J185"/>
  <c r="J203"/>
  <c r="J123"/>
  <c r="M8" l="1"/>
  <c r="I8"/>
  <c r="V107"/>
  <c r="J184"/>
  <c r="D13" i="2" s="1"/>
  <c r="L13" s="1"/>
  <c r="J146" i="1"/>
  <c r="J202"/>
  <c r="D17" i="2" s="1"/>
  <c r="L17" s="1"/>
  <c r="J108" i="1"/>
  <c r="D15" i="2" s="1"/>
  <c r="L15" s="1"/>
  <c r="P15" s="1"/>
  <c r="J117" i="1"/>
  <c r="J210"/>
  <c r="D16" i="2" s="1"/>
  <c r="L16" s="1"/>
  <c r="P16" s="1"/>
  <c r="J163" i="1"/>
  <c r="D14" i="2" s="1"/>
  <c r="L14" s="1"/>
  <c r="P14" s="1"/>
  <c r="J133" i="1"/>
  <c r="J37"/>
  <c r="D9" i="2" s="1"/>
  <c r="L9" s="1"/>
  <c r="J9" i="1"/>
  <c r="D8" i="2" s="1"/>
  <c r="L8" s="1"/>
  <c r="P8" s="1"/>
  <c r="D12" l="1"/>
  <c r="L12" s="1"/>
  <c r="P12" s="1"/>
  <c r="D10"/>
  <c r="L10" s="1"/>
  <c r="P10" s="1"/>
  <c r="D7"/>
  <c r="L7" s="1"/>
  <c r="P7" s="1"/>
  <c r="P13"/>
  <c r="P9"/>
  <c r="P17"/>
  <c r="T211" i="1" l="1"/>
  <c r="T210" s="1"/>
  <c r="S211"/>
  <c r="S210" s="1"/>
  <c r="T203"/>
  <c r="T202" s="1"/>
  <c r="S203"/>
  <c r="S202" s="1"/>
  <c r="T185"/>
  <c r="S185"/>
  <c r="T176"/>
  <c r="S176"/>
  <c r="T158"/>
  <c r="S158"/>
  <c r="T154"/>
  <c r="S154"/>
  <c r="T134"/>
  <c r="S134"/>
  <c r="T123"/>
  <c r="T117" s="1"/>
  <c r="S123"/>
  <c r="S117" s="1"/>
  <c r="T100"/>
  <c r="S100"/>
  <c r="T92"/>
  <c r="S92"/>
  <c r="T85"/>
  <c r="S85"/>
  <c r="T42"/>
  <c r="S42"/>
  <c r="T38"/>
  <c r="S38"/>
  <c r="T31"/>
  <c r="S31"/>
  <c r="T25"/>
  <c r="S25"/>
  <c r="T16"/>
  <c r="S16"/>
  <c r="T10"/>
  <c r="S10"/>
  <c r="P211"/>
  <c r="P210" s="1"/>
  <c r="O211"/>
  <c r="O210" s="1"/>
  <c r="P203"/>
  <c r="P202" s="1"/>
  <c r="O203"/>
  <c r="O202" s="1"/>
  <c r="P185"/>
  <c r="O185"/>
  <c r="P176"/>
  <c r="O176"/>
  <c r="P158"/>
  <c r="O158"/>
  <c r="P154"/>
  <c r="O154"/>
  <c r="P134"/>
  <c r="O134"/>
  <c r="P123"/>
  <c r="P117" s="1"/>
  <c r="O123"/>
  <c r="O117" s="1"/>
  <c r="P100"/>
  <c r="O100"/>
  <c r="P92"/>
  <c r="O92"/>
  <c r="P85"/>
  <c r="O85"/>
  <c r="P42"/>
  <c r="O42"/>
  <c r="P38"/>
  <c r="O38"/>
  <c r="P31"/>
  <c r="O31"/>
  <c r="P25"/>
  <c r="O25"/>
  <c r="P16"/>
  <c r="O16"/>
  <c r="P10"/>
  <c r="O10"/>
  <c r="H211"/>
  <c r="H210" s="1"/>
  <c r="G211"/>
  <c r="G210" s="1"/>
  <c r="G203"/>
  <c r="G202" s="1"/>
  <c r="H185"/>
  <c r="G176"/>
  <c r="G163" s="1"/>
  <c r="H176"/>
  <c r="H163" s="1"/>
  <c r="H158"/>
  <c r="H154"/>
  <c r="H134"/>
  <c r="G134"/>
  <c r="H123"/>
  <c r="G100"/>
  <c r="H100"/>
  <c r="H92"/>
  <c r="G85"/>
  <c r="H85"/>
  <c r="G42"/>
  <c r="H38"/>
  <c r="H16"/>
  <c r="H68" l="1"/>
  <c r="F163"/>
  <c r="O163"/>
  <c r="P163"/>
  <c r="F123"/>
  <c r="H117"/>
  <c r="T37"/>
  <c r="P37"/>
  <c r="O37"/>
  <c r="S37"/>
  <c r="P9"/>
  <c r="R139"/>
  <c r="G133"/>
  <c r="O133"/>
  <c r="O184"/>
  <c r="G184"/>
  <c r="H184"/>
  <c r="P133"/>
  <c r="P184"/>
  <c r="H133"/>
  <c r="T133"/>
  <c r="T184"/>
  <c r="S133"/>
  <c r="S184"/>
  <c r="O9"/>
  <c r="T9"/>
  <c r="S9"/>
  <c r="R192"/>
  <c r="R16"/>
  <c r="R31"/>
  <c r="R38"/>
  <c r="R53"/>
  <c r="R85"/>
  <c r="R100"/>
  <c r="R109"/>
  <c r="R118"/>
  <c r="R134"/>
  <c r="R147"/>
  <c r="R185"/>
  <c r="R203"/>
  <c r="R10"/>
  <c r="R25"/>
  <c r="R42"/>
  <c r="R46"/>
  <c r="R92"/>
  <c r="R114"/>
  <c r="R123"/>
  <c r="R142"/>
  <c r="R154"/>
  <c r="R164"/>
  <c r="R176"/>
  <c r="R188"/>
  <c r="R158"/>
  <c r="R128"/>
  <c r="R211"/>
  <c r="N123"/>
  <c r="F192"/>
  <c r="V192" s="1"/>
  <c r="N128"/>
  <c r="N139"/>
  <c r="N211"/>
  <c r="N16"/>
  <c r="N31"/>
  <c r="N38"/>
  <c r="N53"/>
  <c r="N85"/>
  <c r="N100"/>
  <c r="N109"/>
  <c r="N118"/>
  <c r="N134"/>
  <c r="N147"/>
  <c r="N158"/>
  <c r="N185"/>
  <c r="N203"/>
  <c r="N10"/>
  <c r="N25"/>
  <c r="N42"/>
  <c r="N46"/>
  <c r="N92"/>
  <c r="N114"/>
  <c r="N142"/>
  <c r="N154"/>
  <c r="N164"/>
  <c r="N176"/>
  <c r="N188"/>
  <c r="N192"/>
  <c r="V128"/>
  <c r="F139"/>
  <c r="V139" s="1"/>
  <c r="F100"/>
  <c r="V100" s="1"/>
  <c r="F118"/>
  <c r="V118" s="1"/>
  <c r="F147"/>
  <c r="V147" s="1"/>
  <c r="V188"/>
  <c r="F211"/>
  <c r="V211" s="1"/>
  <c r="F46"/>
  <c r="V46" s="1"/>
  <c r="F134"/>
  <c r="V134" s="1"/>
  <c r="V142"/>
  <c r="F185"/>
  <c r="F158"/>
  <c r="V158" s="1"/>
  <c r="F85"/>
  <c r="V85" s="1"/>
  <c r="F176"/>
  <c r="V176" s="1"/>
  <c r="P146"/>
  <c r="T146"/>
  <c r="H146"/>
  <c r="S146"/>
  <c r="O146"/>
  <c r="G38"/>
  <c r="G37" s="1"/>
  <c r="V31"/>
  <c r="G154"/>
  <c r="H25"/>
  <c r="F25" s="1"/>
  <c r="V25" s="1"/>
  <c r="H42"/>
  <c r="F42" s="1"/>
  <c r="V42" s="1"/>
  <c r="G16"/>
  <c r="F16" s="1"/>
  <c r="V16" s="1"/>
  <c r="F109"/>
  <c r="V109" s="1"/>
  <c r="F114"/>
  <c r="V114" s="1"/>
  <c r="H203"/>
  <c r="H202" s="1"/>
  <c r="G92"/>
  <c r="F92" s="1"/>
  <c r="V92" s="1"/>
  <c r="H9" l="1"/>
  <c r="F184"/>
  <c r="N184"/>
  <c r="G68"/>
  <c r="F68" s="1"/>
  <c r="H37"/>
  <c r="V185"/>
  <c r="F38"/>
  <c r="V38" s="1"/>
  <c r="N133"/>
  <c r="G9"/>
  <c r="R117"/>
  <c r="R184"/>
  <c r="R9"/>
  <c r="R210"/>
  <c r="R202"/>
  <c r="R133"/>
  <c r="N117"/>
  <c r="N108"/>
  <c r="N9"/>
  <c r="R108"/>
  <c r="R146"/>
  <c r="N210"/>
  <c r="N163"/>
  <c r="R37"/>
  <c r="N146"/>
  <c r="F117"/>
  <c r="V123"/>
  <c r="N37"/>
  <c r="N202"/>
  <c r="F69"/>
  <c r="V69" s="1"/>
  <c r="F164"/>
  <c r="V164" s="1"/>
  <c r="F202"/>
  <c r="V53"/>
  <c r="F210"/>
  <c r="G146"/>
  <c r="F146" s="1"/>
  <c r="F154"/>
  <c r="V154" s="1"/>
  <c r="F133"/>
  <c r="V10"/>
  <c r="F203"/>
  <c r="V203" s="1"/>
  <c r="F108"/>
  <c r="V108" s="1"/>
  <c r="E15" i="2" l="1"/>
  <c r="C15"/>
  <c r="K15" s="1"/>
  <c r="V202" i="1"/>
  <c r="E17" i="2" s="1"/>
  <c r="C17"/>
  <c r="K17" s="1"/>
  <c r="C11"/>
  <c r="K11" s="1"/>
  <c r="V210" i="1"/>
  <c r="E16" i="2" s="1"/>
  <c r="C16"/>
  <c r="K16" s="1"/>
  <c r="V163" i="1"/>
  <c r="E14" i="2" s="1"/>
  <c r="C14"/>
  <c r="K14" s="1"/>
  <c r="V117" i="1"/>
  <c r="E10" i="2" s="1"/>
  <c r="C10"/>
  <c r="K10" s="1"/>
  <c r="V133" i="1"/>
  <c r="E12" i="2" s="1"/>
  <c r="C12"/>
  <c r="K12" s="1"/>
  <c r="V146" i="1"/>
  <c r="E7" i="2" s="1"/>
  <c r="C7"/>
  <c r="K7" s="1"/>
  <c r="V184" i="1"/>
  <c r="E13" i="2" s="1"/>
  <c r="C13"/>
  <c r="K13" s="1"/>
  <c r="F37" i="1"/>
  <c r="F9"/>
  <c r="H8"/>
  <c r="G8"/>
  <c r="V37" l="1"/>
  <c r="E9" i="2" s="1"/>
  <c r="C9"/>
  <c r="K9" s="1"/>
  <c r="M7"/>
  <c r="O7"/>
  <c r="M10"/>
  <c r="O10"/>
  <c r="V9" i="1"/>
  <c r="E8" i="2" s="1"/>
  <c r="C8"/>
  <c r="K8" s="1"/>
  <c r="M14"/>
  <c r="O14"/>
  <c r="O11"/>
  <c r="M15"/>
  <c r="O15"/>
  <c r="O13"/>
  <c r="M13"/>
  <c r="M12"/>
  <c r="O12"/>
  <c r="M16"/>
  <c r="O16"/>
  <c r="O17"/>
  <c r="M17"/>
  <c r="F8" i="1"/>
  <c r="C6" i="2" l="1"/>
  <c r="K6" s="1"/>
  <c r="O6" s="1"/>
  <c r="O9"/>
  <c r="M9"/>
  <c r="M8"/>
  <c r="O8"/>
  <c r="S163" i="1"/>
  <c r="R181" l="1"/>
  <c r="U163"/>
  <c r="T163"/>
  <c r="R163" l="1"/>
  <c r="Q68" l="1"/>
  <c r="Q8" s="1"/>
  <c r="T68"/>
  <c r="T8" s="1"/>
  <c r="U68"/>
  <c r="U8" s="1"/>
  <c r="L68"/>
  <c r="L8" s="1"/>
  <c r="P68"/>
  <c r="P8" s="1"/>
  <c r="O68"/>
  <c r="K68"/>
  <c r="S68"/>
  <c r="J103"/>
  <c r="V103" s="1"/>
  <c r="R68" l="1"/>
  <c r="S8"/>
  <c r="R8" s="1"/>
  <c r="N68"/>
  <c r="O8"/>
  <c r="N8" s="1"/>
  <c r="J68"/>
  <c r="D11" i="2" s="1"/>
  <c r="L11" s="1"/>
  <c r="K8" i="1"/>
  <c r="J8" s="1"/>
  <c r="V68" l="1"/>
  <c r="E11" i="2" s="1"/>
  <c r="M11"/>
  <c r="P11"/>
  <c r="V8" i="1"/>
  <c r="E6" i="2" s="1"/>
  <c r="D6"/>
  <c r="L6" s="1"/>
  <c r="P6" l="1"/>
  <c r="M6"/>
</calcChain>
</file>

<file path=xl/sharedStrings.xml><?xml version="1.0" encoding="utf-8"?>
<sst xmlns="http://schemas.openxmlformats.org/spreadsheetml/2006/main" count="825" uniqueCount="390">
  <si>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</si>
  <si>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</si>
  <si>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</si>
  <si>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</si>
  <si>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</si>
  <si>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</si>
  <si>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</si>
  <si>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</si>
  <si>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</si>
  <si>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</si>
  <si>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</si>
  <si>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</si>
  <si>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</si>
  <si>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</si>
  <si>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</si>
  <si>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</si>
  <si>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</si>
  <si>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</si>
  <si>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</si>
  <si>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</si>
  <si>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</si>
  <si>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</si>
  <si>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</si>
  <si>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</si>
  <si>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</si>
  <si>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</si>
  <si>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</si>
  <si>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</si>
  <si>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</si>
  <si>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</si>
  <si>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</si>
  <si>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</si>
  <si>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</si>
  <si>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</si>
  <si>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</si>
  <si>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</si>
  <si>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</si>
  <si>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</si>
  <si>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</si>
  <si>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</si>
  <si>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</si>
  <si>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</si>
  <si>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</si>
  <si>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</si>
  <si>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</si>
  <si>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</si>
  <si>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</si>
  <si>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</si>
  <si>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</si>
  <si>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</si>
  <si>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</si>
  <si>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</si>
  <si>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</si>
  <si>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</si>
  <si>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</si>
  <si>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</si>
  <si>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</si>
  <si>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</si>
  <si>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</si>
  <si>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</si>
  <si>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</si>
  <si>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</si>
  <si>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</si>
  <si>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</si>
  <si>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</si>
  <si>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</si>
  <si>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</si>
  <si>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</si>
  <si>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</si>
  <si>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</si>
  <si>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</si>
  <si>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</si>
  <si>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</si>
  <si>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</si>
  <si>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</si>
  <si>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</si>
  <si>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</si>
  <si>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</si>
  <si>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</si>
  <si>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</si>
  <si>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</si>
  <si>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</si>
  <si>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</si>
  <si>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</si>
  <si>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>Департамент природных ресурсов и охраны окружающей среды Томской области</t>
  </si>
  <si>
    <t>7</t>
  </si>
  <si>
    <t>Национальный проект "Безопасные и качественные автомобильные дороги"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</si>
  <si>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</si>
  <si>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</si>
  <si>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</si>
  <si>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</si>
  <si>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</si>
  <si>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</si>
  <si>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</si>
  <si>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</si>
  <si>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</si>
  <si>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</si>
  <si>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</si>
  <si>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</si>
  <si>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</si>
  <si>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</si>
  <si>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</si>
  <si>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</si>
  <si>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</si>
  <si>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</si>
  <si>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</si>
  <si>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</si>
  <si>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</si>
  <si>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</si>
  <si>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</si>
  <si>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03WI555274</t>
  </si>
  <si>
    <t>03WL252961</t>
  </si>
  <si>
    <t>Повышение эффективности службы занятости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</si>
  <si>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</si>
  <si>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</si>
  <si>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</si>
  <si>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</si>
  <si>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</si>
  <si>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</si>
  <si>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</si>
  <si>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</si>
  <si>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</si>
  <si>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</si>
  <si>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</si>
  <si>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</si>
  <si>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</si>
  <si>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</si>
  <si>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</si>
  <si>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</si>
  <si>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</si>
  <si>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</si>
  <si>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</si>
  <si>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</si>
  <si>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</si>
  <si>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</si>
  <si>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</si>
  <si>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</si>
  <si>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</si>
  <si>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</si>
  <si>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</si>
  <si>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</si>
  <si>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</si>
  <si>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</si>
  <si>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</si>
  <si>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</si>
  <si>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</si>
  <si>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</si>
  <si>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</si>
  <si>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</si>
  <si>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</si>
  <si>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</si>
  <si>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</si>
  <si>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</si>
  <si>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</si>
  <si>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</si>
  <si>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13WF255550</t>
  </si>
  <si>
    <t>13WF367483</t>
  </si>
  <si>
    <t>15WGА54290</t>
  </si>
  <si>
    <t>15WGА54320</t>
  </si>
  <si>
    <t>18WR153930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</si>
  <si>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</si>
  <si>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</si>
  <si>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</si>
  <si>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20WD622500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</si>
  <si>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</si>
  <si>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</si>
  <si>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</si>
  <si>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</si>
  <si>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</si>
  <si>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</si>
  <si>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</si>
  <si>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</si>
  <si>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</si>
  <si>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09WE452102</t>
  </si>
  <si>
    <t>09WE251890</t>
  </si>
  <si>
    <t>03WL252962</t>
  </si>
  <si>
    <t>09WE452101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</si>
  <si>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</si>
  <si>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</si>
  <si>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</si>
  <si>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</si>
  <si>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</si>
  <si>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</si>
  <si>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</si>
  <si>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</si>
  <si>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09WE255371</t>
  </si>
  <si>
    <t>09WE255372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</si>
  <si>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</si>
  <si>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</si>
  <si>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</si>
  <si>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</si>
  <si>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</si>
  <si>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Национальный проект "Международная кооперация и экспорт"</t>
  </si>
  <si>
    <t>8.3</t>
  </si>
  <si>
    <t>2021 год</t>
  </si>
  <si>
    <t>2022 год</t>
  </si>
  <si>
    <t>2023 год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</si>
  <si>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</si>
  <si>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</si>
  <si>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</si>
  <si>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</si>
  <si>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</si>
  <si>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</si>
  <si>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03WI555279</t>
  </si>
  <si>
    <t>05WP252910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</si>
  <si>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</si>
  <si>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</si>
  <si>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</si>
  <si>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</si>
  <si>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</si>
  <si>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</si>
  <si>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</si>
  <si>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</si>
  <si>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>Строительство (приобретение) объектов коммунальной инфраструктуры государственной собственности Томской области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</si>
  <si>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</si>
  <si>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</si>
  <si>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</si>
  <si>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19WF552430</t>
  </si>
  <si>
    <t>19WF501140</t>
  </si>
  <si>
    <t>20WD255890</t>
  </si>
  <si>
    <t>Обеспечение на участках мировых судей формирования и функционирования необходимой информационно-технологической и телекоммуникационной инфраструктуры для организации защищенного межведомственного электронного взаимодействия, приема исковых заявлений, направляемых в электронном виде, и организации участия в заседаниях мировых судов в режиме видео-конференц-связи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</si>
  <si>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</si>
  <si>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</si>
  <si>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</si>
  <si>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Обеспечение образовательных организаций материально-технической базой для внедрения цифровой образовательной среды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</si>
  <si>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</si>
  <si>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Улучшение экологического состояния гидрографической сети</t>
  </si>
  <si>
    <t>15WG850900</t>
  </si>
  <si>
    <t>20WD251170</t>
  </si>
  <si>
    <t>Региональный проект "Содействие занятости", всего</t>
  </si>
  <si>
    <t>Комитет по обеспечению деятельности мировых судей Томской области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</si>
  <si>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</si>
  <si>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</si>
  <si>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</si>
  <si>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</si>
  <si>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09WE152301</t>
  </si>
  <si>
    <t>Разработка проектной документации на строительство объектов коммунальной инфраструктуры государственной собственности Томской области</t>
  </si>
  <si>
    <t>Департамент по управлению государственной собственностью Томской области</t>
  </si>
  <si>
    <t>06WI554800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</si>
  <si>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01.08.2021</t>
  </si>
  <si>
    <t xml:space="preserve">ФИО сотрудника Депатамента Финансов Томской  области </t>
  </si>
  <si>
    <t>Описание процента исполнения</t>
  </si>
  <si>
    <t>Создание виртуальных концертных залов по результатам конкурсного отбора, проводимого Министерством культуры Российской Федерации</t>
  </si>
  <si>
    <t>Создание системы поддержки фермеров и развитие сельской кооперации</t>
  </si>
  <si>
    <t>11</t>
  </si>
  <si>
    <t>Плановые ассигнования</t>
  </si>
  <si>
    <t>На 01.08.2021</t>
  </si>
  <si>
    <t>исполнено</t>
  </si>
  <si>
    <t>На 20.08.2021</t>
  </si>
  <si>
    <t>09WE141890</t>
  </si>
  <si>
    <t>09WE153050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</si>
  <si>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</si>
  <si>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</si>
  <si>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</si>
  <si>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</si>
  <si>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11WP30И130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</si>
  <si>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</si>
  <si>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811</t>
  </si>
  <si>
    <t>821</t>
  </si>
  <si>
    <t>839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</si>
  <si>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</si>
  <si>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</si>
  <si>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</si>
  <si>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</si>
  <si>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</si>
  <si>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</si>
  <si>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</si>
  <si>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</si>
  <si>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</si>
  <si>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</si>
  <si>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</si>
  <si>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</si>
  <si>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</si>
  <si>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</si>
  <si>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</si>
  <si>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детских технопарков "Кванториум"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</si>
  <si>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</si>
  <si>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Создание новых мест в общеобразовательных организациях</t>
  </si>
  <si>
    <t>Оснащение отремонтированных зданий и (или) помещений общеобразовательных организаций современными средствами обучения и воспитания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</si>
  <si>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</si>
  <si>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815</t>
  </si>
  <si>
    <t>09WE141880</t>
  </si>
  <si>
    <t>09WE151730</t>
  </si>
  <si>
    <t>09WE153051</t>
  </si>
  <si>
    <t>09WE157501</t>
  </si>
  <si>
    <t>09WE164800</t>
  </si>
  <si>
    <t>816</t>
  </si>
  <si>
    <t>Создание (обновление) материально-технической базы образовательных организаций, реализующих программы среднего профессионального образования</t>
  </si>
  <si>
    <t>09WE653590</t>
  </si>
  <si>
    <t>20WD253540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</si>
  <si>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</si>
  <si>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Реализация мероприятий по созданию и организации работы единой службы оперативной помощи гражданам по номеру "122"</t>
  </si>
  <si>
    <t>825</t>
  </si>
  <si>
    <t>804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</si>
  <si>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</si>
  <si>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</si>
  <si>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</si>
  <si>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</si>
  <si>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</si>
  <si>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828</t>
  </si>
  <si>
    <t>838</t>
  </si>
  <si>
    <t>Региональный проект "Сохранение уникальных водных объектов"</t>
  </si>
  <si>
    <t>Развитие инфраструктуры дорожного хозяйства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</si>
  <si>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</si>
  <si>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18WR153890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</si>
  <si>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</si>
  <si>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</si>
  <si>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</si>
  <si>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</si>
  <si>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</si>
  <si>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</si>
  <si>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</si>
  <si>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</si>
  <si>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</si>
  <si>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</si>
  <si>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</si>
  <si>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</si>
  <si>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</si>
  <si>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</si>
  <si>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обществу с ограниченной ответственностью "Центр инновационного развития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</si>
  <si>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автономной некоммерческой организации "Томский региональный инжиниринговый центр"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</si>
  <si>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</si>
  <si>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</si>
  <si>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Субсидия Ассоциации инновационного развития АПК Томской области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</si>
  <si>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03WI555275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</si>
  <si>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</si>
  <si>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</si>
  <si>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</si>
  <si>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</si>
  <si>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* по данным сводной бюджетной росписи областного бюджета на 2022-2024 годы по состоянию на отчетную дату; лимиты бюджетных обязательств соответствуют плановым назначениям</t>
  </si>
  <si>
    <t>Подготовка проектной документации на объекты водоснабжения (в том числе проведение инженерных изысканий)</t>
  </si>
  <si>
    <t>19WF54П130</t>
  </si>
  <si>
    <t>Информационно-методическое сопровождение кружкового движения и организация проведения Национальной технологической олимпиады</t>
  </si>
  <si>
    <t>Региональный проект "Чистая вода", всего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</si>
  <si>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</si>
  <si>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Региональный проект "Цифровая культура"</t>
  </si>
  <si>
    <t>11WP30П130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</si>
  <si>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</si>
  <si>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</si>
  <si>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</si>
  <si>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</si>
  <si>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</si>
  <si>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</si>
  <si>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07WN352270</t>
  </si>
  <si>
    <t>Новое строительство и реконструкция</t>
  </si>
  <si>
    <t>07WN953655</t>
  </si>
  <si>
    <t>Реализация региональных проектов модернизации первичного звена здравоохранения (приобретение объектов недвижимого имущества для размещения медицинских организаций)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</si>
  <si>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</si>
  <si>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Бюджетные ассигнования на объекты капитального строительства государственной собственности в сфере здравоохранения</t>
  </si>
  <si>
    <t>07WN352271</t>
  </si>
  <si>
    <t>09WE14П010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</si>
  <si>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</si>
  <si>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09WP252320</t>
  </si>
  <si>
    <t>09WP252321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</si>
  <si>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</si>
  <si>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Развитие инфраструктуры дорожного хозяйства за счет средств резервного фонда Правительства Российской Федерации</t>
  </si>
  <si>
    <t>18WR15389F</t>
  </si>
  <si>
    <t>Региональный проект "Патриотическое воспитание граждан Российской Федерации"</t>
  </si>
  <si>
    <t>3.5</t>
  </si>
  <si>
    <t>Обеспечение оснащения государственных и муниципальных общеобразовательных организаций, в том числе структурных подразделений указанных организаций, государственными символами Российской Федерации</t>
  </si>
  <si>
    <t>09WEВ57860</t>
  </si>
  <si>
    <t xml:space="preserve">Осуществление авторского надзороа </t>
  </si>
  <si>
    <t>10WA155195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</si>
  <si>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</si>
  <si>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</si>
  <si>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</si>
  <si>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***</t>
  </si>
  <si>
    <t xml:space="preserve">*** Бюджетные ассигнования за счёт средств федерального бюджета в сумме 302 282,9 тыс. рублей были предусмотрены в 2022 году в областном бюджете на приобретение школы на 1100 мест в мкр.Северный парк Томского района на основании соглашения, заключенного Томской областью с Минпросвещения России 24.12.2021. </t>
  </si>
  <si>
    <t xml:space="preserve">Фактически, в целях обеспечения начала учебного процесса раньше запланированных сроков, школа была приобретена в 2021 году за счёт выделения дополнительного объёма средств из областного бюджета.  14.06.2022 подписан акт сверки между Томской областью и Минпросвещения России на возмещение за счёт средств федерального бюджета расходов областного бюджета в сумме 302 282,9 тыс. рублей.  </t>
  </si>
  <si>
    <t>07WN953656</t>
  </si>
  <si>
    <t>Реализация региональных проектов модернизации первичного звена здравоохранения (авторский надзор при строительстве объектов капитального строительства медицинских организаций)</t>
  </si>
  <si>
    <t>13WF25424F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</si>
  <si>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 за счет средств резервного фонда Правительства Российской Федерации</t>
  </si>
  <si>
    <t>07WN95365F</t>
  </si>
  <si>
    <t>Реализация региональных проектов модернизации первичного звена здравоохранения за счет средств резервного фонда Правительства Российской Федерации</t>
  </si>
  <si>
    <t>10WA155191</t>
  </si>
  <si>
    <t>Капитальный ремонт объектов недвижимого имущества в сфере культуры</t>
  </si>
  <si>
    <t>03WL252891</t>
  </si>
  <si>
    <t>Процент исполнения по национальному проекту "Образование" с учетом возмещения за счёт средств федерального бюджета расходов областного бюджета составляет 44 %, по региональному проекту "Современная школа" - 36,1%.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</si>
  <si>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01.12.2022</t>
  </si>
  <si>
    <t>11WP15084F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</si>
  <si>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лет, за счет средств резервного фонда Правительства Российской Федерации</t>
  </si>
  <si>
    <t>09WEВ5179</t>
  </si>
  <si>
    <t>Финансовое обеспечение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</si>
  <si>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810</t>
  </si>
  <si>
    <t>26WG141260</t>
  </si>
  <si>
    <t>Разработка проектно-сметной документации по ликвидации несанкционированных свалок в границах городов и наиболее опасных объектов накопленного экологического вреда окружающей среде</t>
  </si>
  <si>
    <t>03WL252892</t>
  </si>
  <si>
    <t>Функционирование учебной производственной площадки "Фабрика процессов"</t>
  </si>
  <si>
    <t>09WEВ5179F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</si>
</sst>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6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i/>
      <sz val="14"/>
      <color theme="1"/>
      <name val="PT Astra Serif"/>
      <family val="1"/>
      <charset val="204"/>
    </font>
    <font>
      <sz val="13"/>
      <color rgb="FF000000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3" borderId="0" xfId="0" applyFont="1" applyFill="1" applyAlignment="1">
      <alignment horizontal="right"/>
    </xf>
    <xf numFmtId="0" fontId="2" fillId="0" borderId="4" xfId="0" applyFont="1" applyBorder="1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0" fontId="7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4" fontId="9" fillId="3" borderId="4" xfId="0" applyNumberFormat="1" applyFont="1" applyFill="1" applyBorder="1" applyAlignment="1">
      <alignment horizontal="right" vertical="top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4" fontId="10" fillId="3" borderId="4" xfId="0" applyNumberFormat="1" applyFont="1" applyFill="1" applyBorder="1" applyAlignment="1">
      <alignment horizontal="center" vertical="center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65" fontId="10" fillId="3" borderId="4" xfId="0" applyNumberFormat="1" applyFont="1" applyFill="1" applyBorder="1" applyAlignment="1">
      <alignment horizontal="center" vertical="center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164" fontId="13" fillId="3" borderId="4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164" fontId="14" fillId="3" borderId="4" xfId="0" applyNumberFormat="1" applyFont="1" applyFill="1" applyBorder="1" applyAlignment="1">
      <alignment horizontal="right" vertical="top" wrapText="1"/>
    </xf>
    <xf numFmtId="165" fontId="14" fillId="3" borderId="4" xfId="0" applyNumberFormat="1" applyFont="1" applyFill="1" applyBorder="1" applyAlignment="1">
      <alignment horizontal="right" vertical="top" wrapText="1"/>
    </xf>
    <xf numFmtId="164" fontId="10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right" vertical="top"/>
    </xf>
    <xf numFmtId="0" fontId="7" fillId="0" borderId="5" xfId="0" applyFont="1" applyFill="1" applyBorder="1" applyAlignment="1">
      <alignment horizontal="center" vertical="center" wrapText="1"/>
    </xf>
    <xf numFmtId="164" fontId="14" fillId="3" borderId="6" xfId="0" applyNumberFormat="1" applyFont="1" applyFill="1" applyBorder="1" applyAlignment="1">
      <alignment horizontal="right" vertical="top" wrapText="1"/>
    </xf>
    <xf numFmtId="0" fontId="15" fillId="0" borderId="4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8" fillId="0" borderId="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wrapText="1"/>
    </xf>
    <xf numFmtId="4" fontId="10" fillId="3" borderId="4" xfId="0" applyNumberFormat="1" applyFont="1" applyFill="1" applyBorder="1" applyAlignment="1">
      <alignment horizontal="center" vertical="center" wrapText="1"/>
    </xf>
    <xf numFmtId="0" fontId="11" fillId="3" borderId="4" xfId="0" applyNumberFormat="1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4" fontId="2" fillId="3" borderId="4" xfId="0" applyNumberFormat="1" applyFont="1" applyFill="1" applyBorder="1" applyAlignment="1">
      <alignment horizontal="center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164" fontId="0" fillId="0" borderId="0" xfId="0" applyNumberFormat="1"/>
    <xf numFmtId="49" fontId="7" fillId="3" borderId="1" xfId="0" applyNumberFormat="1" applyFont="1" applyFill="1" applyBorder="1" applyAlignment="1">
      <alignment horizontal="center" vertical="center"/>
    </xf>
    <xf numFmtId="49" fontId="12" fillId="3" borderId="13" xfId="0" applyNumberFormat="1" applyFont="1" applyFill="1" applyBorder="1" applyAlignment="1" applyProtection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9" fontId="12" fillId="3" borderId="4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14" fillId="0" borderId="0" xfId="0" applyFont="1" applyAlignment="1">
      <alignment vertical="top" wrapText="1"/>
    </xf>
    <xf numFmtId="0" fontId="7" fillId="0" borderId="4" xfId="0" applyFont="1" applyFill="1" applyBorder="1" applyAlignment="1">
      <alignment horizontal="center" vertical="top" wrapText="1"/>
    </xf>
    <xf numFmtId="164" fontId="9" fillId="0" borderId="4" xfId="0" applyNumberFormat="1" applyFont="1" applyFill="1" applyBorder="1" applyAlignment="1">
      <alignment horizontal="right" vertical="top" wrapText="1"/>
    </xf>
    <xf numFmtId="164" fontId="4" fillId="0" borderId="4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/>
    <xf numFmtId="0" fontId="7" fillId="0" borderId="4" xfId="0" applyFont="1" applyFill="1" applyBorder="1" applyAlignment="1">
      <alignment horizontal="center" vertical="top" wrapText="1"/>
    </xf>
    <xf numFmtId="49" fontId="5" fillId="0" borderId="14" xfId="0" applyNumberFormat="1" applyFont="1" applyBorder="1" applyAlignment="1" applyProtection="1">
      <alignment horizontal="left" vertical="center" wrapText="1"/>
    </xf>
    <xf numFmtId="164" fontId="10" fillId="0" borderId="4" xfId="0" applyNumberFormat="1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9" fontId="5" fillId="0" borderId="15" xfId="0" applyNumberFormat="1" applyFont="1" applyBorder="1" applyAlignment="1" applyProtection="1">
      <alignment horizontal="left" vertical="center" wrapText="1"/>
    </xf>
    <xf numFmtId="49" fontId="5" fillId="0" borderId="16" xfId="0" applyNumberFormat="1" applyFont="1" applyBorder="1" applyAlignment="1" applyProtection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top" wrapText="1"/>
    </xf>
    <xf numFmtId="0" fontId="8" fillId="0" borderId="1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theme" Target="theme/theme1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109" Type="http://schemas.openxmlformats.org/officeDocument/2006/relationships/revisionLog" Target="revisionLog13.xml"/><Relationship Id="rId117" Type="http://schemas.openxmlformats.org/officeDocument/2006/relationships/revisionLog" Target="revisionLog14.xml"/><Relationship Id="rId89" Type="http://schemas.openxmlformats.org/officeDocument/2006/relationships/revisionLog" Target="revisionLog121.xml"/><Relationship Id="rId97" Type="http://schemas.openxmlformats.org/officeDocument/2006/relationships/revisionLog" Target="revisionLog111.xml"/><Relationship Id="rId104" Type="http://schemas.openxmlformats.org/officeDocument/2006/relationships/revisionLog" Target="revisionLog131.xml"/><Relationship Id="rId112" Type="http://schemas.openxmlformats.org/officeDocument/2006/relationships/revisionLog" Target="revisionLog141.xml"/><Relationship Id="rId120" Type="http://schemas.openxmlformats.org/officeDocument/2006/relationships/revisionLog" Target="revisionLog151.xml"/><Relationship Id="rId125" Type="http://schemas.openxmlformats.org/officeDocument/2006/relationships/revisionLog" Target="revisionLog16.xml"/><Relationship Id="rId133" Type="http://schemas.openxmlformats.org/officeDocument/2006/relationships/revisionLog" Target="revisionLog17.xml"/><Relationship Id="rId138" Type="http://schemas.openxmlformats.org/officeDocument/2006/relationships/revisionLog" Target="revisionLog11.xml"/><Relationship Id="rId141" Type="http://schemas.openxmlformats.org/officeDocument/2006/relationships/revisionLog" Target="revisionLog12.xml"/><Relationship Id="rId92" Type="http://schemas.openxmlformats.org/officeDocument/2006/relationships/revisionLog" Target="revisionLog1511.xml"/><Relationship Id="rId103" Type="http://schemas.openxmlformats.org/officeDocument/2006/relationships/revisionLog" Target="revisionLog1311.xml"/><Relationship Id="rId108" Type="http://schemas.openxmlformats.org/officeDocument/2006/relationships/revisionLog" Target="revisionLog1411.xml"/><Relationship Id="rId116" Type="http://schemas.openxmlformats.org/officeDocument/2006/relationships/revisionLog" Target="revisionLog161.xml"/><Relationship Id="rId124" Type="http://schemas.openxmlformats.org/officeDocument/2006/relationships/revisionLog" Target="revisionLog171.xml"/><Relationship Id="rId129" Type="http://schemas.openxmlformats.org/officeDocument/2006/relationships/revisionLog" Target="revisionLog18.xml"/><Relationship Id="rId137" Type="http://schemas.openxmlformats.org/officeDocument/2006/relationships/revisionLog" Target="revisionLog112.xml"/><Relationship Id="rId88" Type="http://schemas.openxmlformats.org/officeDocument/2006/relationships/revisionLog" Target="revisionLog1211.xml"/><Relationship Id="rId91" Type="http://schemas.openxmlformats.org/officeDocument/2006/relationships/revisionLog" Target="revisionLog15111.xml"/><Relationship Id="rId96" Type="http://schemas.openxmlformats.org/officeDocument/2006/relationships/revisionLog" Target="revisionLog1111.xml"/><Relationship Id="rId107" Type="http://schemas.openxmlformats.org/officeDocument/2006/relationships/revisionLog" Target="revisionLog14111.xml"/><Relationship Id="rId111" Type="http://schemas.openxmlformats.org/officeDocument/2006/relationships/revisionLog" Target="revisionLog1611.xml"/><Relationship Id="rId132" Type="http://schemas.openxmlformats.org/officeDocument/2006/relationships/revisionLog" Target="revisionLog19.xml"/><Relationship Id="rId140" Type="http://schemas.openxmlformats.org/officeDocument/2006/relationships/revisionLog" Target="revisionLog122.xml"/><Relationship Id="rId102" Type="http://schemas.openxmlformats.org/officeDocument/2006/relationships/revisionLog" Target="revisionLog13111.xml"/><Relationship Id="rId110" Type="http://schemas.openxmlformats.org/officeDocument/2006/relationships/revisionLog" Target="revisionLog16111.xml"/><Relationship Id="rId115" Type="http://schemas.openxmlformats.org/officeDocument/2006/relationships/revisionLog" Target="revisionLog1711.xml"/><Relationship Id="rId123" Type="http://schemas.openxmlformats.org/officeDocument/2006/relationships/revisionLog" Target="revisionLog181.xml"/><Relationship Id="rId128" Type="http://schemas.openxmlformats.org/officeDocument/2006/relationships/revisionLog" Target="revisionLog191.xml"/><Relationship Id="rId131" Type="http://schemas.openxmlformats.org/officeDocument/2006/relationships/revisionLog" Target="revisionLog110.xml"/><Relationship Id="rId136" Type="http://schemas.openxmlformats.org/officeDocument/2006/relationships/revisionLog" Target="revisionLog1121.xml"/><Relationship Id="rId95" Type="http://schemas.openxmlformats.org/officeDocument/2006/relationships/revisionLog" Target="revisionLog11111.xml"/><Relationship Id="rId90" Type="http://schemas.openxmlformats.org/officeDocument/2006/relationships/revisionLog" Target="revisionLog151111.xml"/><Relationship Id="rId106" Type="http://schemas.openxmlformats.org/officeDocument/2006/relationships/revisionLog" Target="revisionLog141111.xml"/><Relationship Id="rId114" Type="http://schemas.openxmlformats.org/officeDocument/2006/relationships/revisionLog" Target="revisionLog17111.xml"/><Relationship Id="rId119" Type="http://schemas.openxmlformats.org/officeDocument/2006/relationships/revisionLog" Target="revisionLog1811.xml"/><Relationship Id="rId127" Type="http://schemas.openxmlformats.org/officeDocument/2006/relationships/revisionLog" Target="revisionLog1911.xml"/><Relationship Id="rId94" Type="http://schemas.openxmlformats.org/officeDocument/2006/relationships/revisionLog" Target="revisionLog161111.xml"/><Relationship Id="rId99" Type="http://schemas.openxmlformats.org/officeDocument/2006/relationships/revisionLog" Target="revisionLog131111.xml"/><Relationship Id="rId101" Type="http://schemas.openxmlformats.org/officeDocument/2006/relationships/revisionLog" Target="revisionLog1411111.xml"/><Relationship Id="rId122" Type="http://schemas.openxmlformats.org/officeDocument/2006/relationships/revisionLog" Target="revisionLog19111.xml"/><Relationship Id="rId130" Type="http://schemas.openxmlformats.org/officeDocument/2006/relationships/revisionLog" Target="revisionLog1101.xml"/><Relationship Id="rId135" Type="http://schemas.openxmlformats.org/officeDocument/2006/relationships/revisionLog" Target="revisionLog11211.xml"/><Relationship Id="rId143" Type="http://schemas.openxmlformats.org/officeDocument/2006/relationships/revisionLog" Target="revisionLog1.xml"/><Relationship Id="rId100" Type="http://schemas.openxmlformats.org/officeDocument/2006/relationships/revisionLog" Target="revisionLog14111111.xml"/><Relationship Id="rId105" Type="http://schemas.openxmlformats.org/officeDocument/2006/relationships/revisionLog" Target="revisionLog171111.xml"/><Relationship Id="rId113" Type="http://schemas.openxmlformats.org/officeDocument/2006/relationships/revisionLog" Target="revisionLog18111.xml"/><Relationship Id="rId118" Type="http://schemas.openxmlformats.org/officeDocument/2006/relationships/revisionLog" Target="revisionLog191111.xml"/><Relationship Id="rId126" Type="http://schemas.openxmlformats.org/officeDocument/2006/relationships/revisionLog" Target="revisionLog11011.xml"/><Relationship Id="rId134" Type="http://schemas.openxmlformats.org/officeDocument/2006/relationships/revisionLog" Target="revisionLog112111.xml"/><Relationship Id="rId139" Type="http://schemas.openxmlformats.org/officeDocument/2006/relationships/revisionLog" Target="revisionLog1221.xml"/><Relationship Id="rId93" Type="http://schemas.openxmlformats.org/officeDocument/2006/relationships/revisionLog" Target="revisionLog12211.xml"/><Relationship Id="rId98" Type="http://schemas.openxmlformats.org/officeDocument/2006/relationships/revisionLog" Target="revisionLog113.xml"/><Relationship Id="rId121" Type="http://schemas.openxmlformats.org/officeDocument/2006/relationships/revisionLog" Target="revisionLog15.xml"/><Relationship Id="rId142" Type="http://schemas.openxmlformats.org/officeDocument/2006/relationships/revisionLog" Target="revisionLog114.xml"/></Relationships>
</file>

<file path=xl/revisions/revisionHeaders.xml><?xml version="1.0" encoding="utf-8"?>
<headers xmlns="http://schemas.openxmlformats.org/spreadsheetml/2006/main" xmlns:r="http://schemas.openxmlformats.org/officeDocument/2006/relationships" guid="{25D91C2C-452B-455A-B739-33E5F3FD41AA}" diskRevisions="1" revisionId="1417" version="143">
  <header guid="{F079708E-3C19-4DA2-B1EC-493FD28333C9}" dateTime="2022-11-07T15:28:30" maxSheetId="3" userName="nma" r:id="rId88" minRId="831" maxRId="833">
    <sheetIdMap count="2">
      <sheetId val="1"/>
      <sheetId val="2"/>
    </sheetIdMap>
  </header>
  <header guid="{2629A877-A913-4930-9D31-3CF67AA844BD}" dateTime="2022-11-07T15:30:07" maxSheetId="3" userName="nma" r:id="rId89">
    <sheetIdMap count="2">
      <sheetId val="1"/>
      <sheetId val="2"/>
    </sheetIdMap>
  </header>
  <header guid="{EAD854D2-CABE-4BAE-995E-85357E5AE23A}" dateTime="2022-11-10T13:53:48" maxSheetId="3" userName="nma" r:id="rId90">
    <sheetIdMap count="2">
      <sheetId val="1"/>
      <sheetId val="2"/>
    </sheetIdMap>
  </header>
  <header guid="{3070146D-3A1E-4C58-B4E0-F25434682747}" dateTime="2022-11-10T14:55:30" maxSheetId="3" userName="nma" r:id="rId91">
    <sheetIdMap count="2">
      <sheetId val="1"/>
      <sheetId val="2"/>
    </sheetIdMap>
  </header>
  <header guid="{487D6DEF-360D-49C8-B8B4-DF5B00877545}" dateTime="2022-11-10T18:11:16" maxSheetId="3" userName="sgl" r:id="rId92">
    <sheetIdMap count="2">
      <sheetId val="1"/>
      <sheetId val="2"/>
    </sheetIdMap>
  </header>
  <header guid="{A70C93FA-9CAA-4CF1-816B-774F980FC620}" dateTime="2022-11-16T16:49:38" maxSheetId="3" userName="nma" r:id="rId93" minRId="859" maxRId="861">
    <sheetIdMap count="2">
      <sheetId val="1"/>
      <sheetId val="2"/>
    </sheetIdMap>
  </header>
  <header guid="{4BC8F302-5073-48DF-90C0-46C7073CE68B}" dateTime="2022-11-16T16:52:33" maxSheetId="3" userName="nma" r:id="rId94">
    <sheetIdMap count="2">
      <sheetId val="1"/>
      <sheetId val="2"/>
    </sheetIdMap>
  </header>
  <header guid="{902751AD-2CE2-4409-BB25-FC050B6849DA}" dateTime="2022-11-17T11:56:23" maxSheetId="3" userName="nma" r:id="rId95" minRId="872" maxRId="877">
    <sheetIdMap count="2">
      <sheetId val="1"/>
      <sheetId val="2"/>
    </sheetIdMap>
  </header>
  <header guid="{5B535207-8E6D-4DD5-833F-4DFF362B9A9D}" dateTime="2022-12-02T09:33:22" maxSheetId="3" userName="pvn" r:id="rId96" minRId="883" maxRId="953">
    <sheetIdMap count="2">
      <sheetId val="1"/>
      <sheetId val="2"/>
    </sheetIdMap>
  </header>
  <header guid="{A33CA36A-572F-4557-BBD2-032A66118F18}" dateTime="2022-12-02T09:41:18" maxSheetId="3" userName="pvn" r:id="rId97" minRId="959" maxRId="960">
    <sheetIdMap count="2">
      <sheetId val="1"/>
      <sheetId val="2"/>
    </sheetIdMap>
  </header>
  <header guid="{8A8D6E22-71F9-4771-9809-B95B3603BB1E}" dateTime="2022-12-02T09:52:45" maxSheetId="3" userName="nma" r:id="rId98" minRId="966" maxRId="985">
    <sheetIdMap count="2">
      <sheetId val="1"/>
      <sheetId val="2"/>
    </sheetIdMap>
  </header>
  <header guid="{00E40360-AAB2-4639-9886-F27AB7585822}" dateTime="2022-12-02T09:54:32" maxSheetId="3" userName="nma" r:id="rId99" minRId="991" maxRId="996">
    <sheetIdMap count="2">
      <sheetId val="1"/>
      <sheetId val="2"/>
    </sheetIdMap>
  </header>
  <header guid="{10DE50B8-0D64-431F-A867-F56C47545A22}" dateTime="2022-12-02T09:57:58" maxSheetId="3" userName="nma" r:id="rId100" minRId="1002" maxRId="1009">
    <sheetIdMap count="2">
      <sheetId val="1"/>
      <sheetId val="2"/>
    </sheetIdMap>
  </header>
  <header guid="{E8FE69C6-3993-4A6E-86AE-E2CEF60F6409}" dateTime="2022-12-02T10:00:22" maxSheetId="3" userName="nma" r:id="rId101" minRId="1015" maxRId="1020">
    <sheetIdMap count="2">
      <sheetId val="1"/>
      <sheetId val="2"/>
    </sheetIdMap>
  </header>
  <header guid="{BA43EDB7-3214-4897-99D1-C38E89F050D1}" dateTime="2022-12-02T10:02:23" maxSheetId="3" userName="nma" r:id="rId102" minRId="1026" maxRId="1027">
    <sheetIdMap count="2">
      <sheetId val="1"/>
      <sheetId val="2"/>
    </sheetIdMap>
  </header>
  <header guid="{F97A217F-B7FF-4004-873C-DC9C2D5E14D5}" dateTime="2022-12-02T10:03:49" maxSheetId="3" userName="nma" r:id="rId103" minRId="1033" maxRId="1035">
    <sheetIdMap count="2">
      <sheetId val="1"/>
      <sheetId val="2"/>
    </sheetIdMap>
  </header>
  <header guid="{B1BDB604-81C4-426D-A3A1-00BB8102056B}" dateTime="2022-12-02T10:05:31" maxSheetId="3" userName="nma" r:id="rId104" minRId="1041" maxRId="1042">
    <sheetIdMap count="2">
      <sheetId val="1"/>
      <sheetId val="2"/>
    </sheetIdMap>
  </header>
  <header guid="{2C29622A-2427-4274-9E7E-DE885572A2A4}" dateTime="2022-12-02T10:09:45" maxSheetId="3" userName="nma" r:id="rId105" minRId="1048" maxRId="1049">
    <sheetIdMap count="2">
      <sheetId val="1"/>
      <sheetId val="2"/>
    </sheetIdMap>
  </header>
  <header guid="{446D7569-347A-4672-BA18-0CD2A56C56CB}" dateTime="2022-12-02T10:15:53" maxSheetId="3" userName="nma" r:id="rId106" minRId="1055" maxRId="1078">
    <sheetIdMap count="2">
      <sheetId val="1"/>
      <sheetId val="2"/>
    </sheetIdMap>
  </header>
  <header guid="{27CFC1E0-7241-43A8-9CA5-BC36F8FEE2B1}" dateTime="2022-12-02T10:20:38" maxSheetId="3" userName="nma" r:id="rId107">
    <sheetIdMap count="2">
      <sheetId val="1"/>
      <sheetId val="2"/>
    </sheetIdMap>
  </header>
  <header guid="{2FF674BF-4623-4982-BD48-BF59A7F81E50}" dateTime="2022-12-02T10:24:22" maxSheetId="3" userName="nma" r:id="rId108" minRId="1089">
    <sheetIdMap count="2">
      <sheetId val="1"/>
      <sheetId val="2"/>
    </sheetIdMap>
  </header>
  <header guid="{5ED27DE7-6965-43CD-A492-A4865FB1C7BB}" dateTime="2022-12-02T10:24:39" maxSheetId="3" userName="nma" r:id="rId109">
    <sheetIdMap count="2">
      <sheetId val="1"/>
      <sheetId val="2"/>
    </sheetIdMap>
  </header>
  <header guid="{FED6F849-B26A-4EFF-BAC5-8949B802885B}" dateTime="2022-12-02T10:28:17" maxSheetId="3" userName="nma" r:id="rId110" minRId="1100" maxRId="1105">
    <sheetIdMap count="2">
      <sheetId val="1"/>
      <sheetId val="2"/>
    </sheetIdMap>
  </header>
  <header guid="{88034325-28AE-4627-966A-342622EA43FD}" dateTime="2022-12-02T10:31:28" maxSheetId="3" userName="nma" r:id="rId111" minRId="1111" maxRId="1118">
    <sheetIdMap count="2">
      <sheetId val="1"/>
      <sheetId val="2"/>
    </sheetIdMap>
  </header>
  <header guid="{A2542F91-FA77-49F8-8EF6-730665B19CA4}" dateTime="2022-12-02T10:34:16" maxSheetId="3" userName="nma" r:id="rId112" minRId="1124" maxRId="1137">
    <sheetIdMap count="2">
      <sheetId val="1"/>
      <sheetId val="2"/>
    </sheetIdMap>
  </header>
  <header guid="{EDE061C4-6CBC-4256-8E39-5C3EE14726B8}" dateTime="2022-12-02T10:36:47" maxSheetId="3" userName="nma" r:id="rId113" minRId="1143" maxRId="1156">
    <sheetIdMap count="2">
      <sheetId val="1"/>
      <sheetId val="2"/>
    </sheetIdMap>
  </header>
  <header guid="{1053D81D-B777-444D-8170-D6FAD1D20963}" dateTime="2022-12-02T10:40:54" maxSheetId="3" userName="pvn" r:id="rId114" minRId="1162" maxRId="1193">
    <sheetIdMap count="2">
      <sheetId val="1"/>
      <sheetId val="2"/>
    </sheetIdMap>
  </header>
  <header guid="{318A68B0-1160-4074-B3E0-D098F9679AC2}" dateTime="2022-12-02T10:44:23" maxSheetId="3" userName="pvn" r:id="rId115">
    <sheetIdMap count="2">
      <sheetId val="1"/>
      <sheetId val="2"/>
    </sheetIdMap>
  </header>
  <header guid="{A41D684B-EF83-4EE6-82EE-32B12F55FC41}" dateTime="2022-12-02T10:46:14" maxSheetId="3" userName="nma" r:id="rId116">
    <sheetIdMap count="2">
      <sheetId val="1"/>
      <sheetId val="2"/>
    </sheetIdMap>
  </header>
  <header guid="{A8B753A8-B9E4-496A-A43E-296D561D73D8}" dateTime="2022-12-02T10:48:10" maxSheetId="3" userName="nma" r:id="rId117" minRId="1209" maxRId="1216">
    <sheetIdMap count="2">
      <sheetId val="1"/>
      <sheetId val="2"/>
    </sheetIdMap>
  </header>
  <header guid="{66D12C24-94A2-40BF-B5F3-A98531D892CD}" dateTime="2022-12-02T10:51:38" maxSheetId="3" userName="nma" r:id="rId118" minRId="1222" maxRId="1231">
    <sheetIdMap count="2">
      <sheetId val="1"/>
      <sheetId val="2"/>
    </sheetIdMap>
  </header>
  <header guid="{432ABC31-922A-4EA7-B8D7-E027F82391F8}" dateTime="2022-12-02T10:53:15" maxSheetId="3" userName="nma" r:id="rId119" minRId="1237">
    <sheetIdMap count="2">
      <sheetId val="1"/>
      <sheetId val="2"/>
    </sheetIdMap>
  </header>
  <header guid="{E57AF3C0-FF97-4953-909F-E403C60B997F}" dateTime="2022-12-02T10:56:20" maxSheetId="3" userName="nma" r:id="rId120">
    <sheetIdMap count="2">
      <sheetId val="1"/>
      <sheetId val="2"/>
    </sheetIdMap>
  </header>
  <header guid="{063E7E75-9018-4496-9018-61C92A855400}" dateTime="2022-12-02T10:57:16" maxSheetId="3" userName="nma" r:id="rId121">
    <sheetIdMap count="2">
      <sheetId val="1"/>
      <sheetId val="2"/>
    </sheetIdMap>
  </header>
  <header guid="{BBE4BCE7-4DE9-433B-8820-510159627536}" dateTime="2022-12-02T11:00:27" maxSheetId="3" userName="nma" r:id="rId122" minRId="1253" maxRId="1262">
    <sheetIdMap count="2">
      <sheetId val="1"/>
      <sheetId val="2"/>
    </sheetIdMap>
  </header>
  <header guid="{EEAC04BF-8937-43DC-8098-FFA11B29BEAE}" dateTime="2022-12-02T11:01:25" maxSheetId="3" userName="pvn" r:id="rId123" minRId="1268">
    <sheetIdMap count="2">
      <sheetId val="1"/>
      <sheetId val="2"/>
    </sheetIdMap>
  </header>
  <header guid="{53110EE4-7648-4F0C-985D-FA1B260BB64D}" dateTime="2022-12-02T11:02:36" maxSheetId="3" userName="nma" r:id="rId124" minRId="1274" maxRId="1275">
    <sheetIdMap count="2">
      <sheetId val="1"/>
      <sheetId val="2"/>
    </sheetIdMap>
  </header>
  <header guid="{F3A55760-A23B-4F1A-B55B-396783A51867}" dateTime="2022-12-02T11:02:41" maxSheetId="3" userName="nma" r:id="rId125">
    <sheetIdMap count="2">
      <sheetId val="1"/>
      <sheetId val="2"/>
    </sheetIdMap>
  </header>
  <header guid="{8C7E5834-932E-43F7-99DE-3F7D24F0375F}" dateTime="2022-12-02T11:03:54" maxSheetId="3" userName="nma" r:id="rId126" minRId="1286" maxRId="1288">
    <sheetIdMap count="2">
      <sheetId val="1"/>
      <sheetId val="2"/>
    </sheetIdMap>
  </header>
  <header guid="{A100DF38-2D76-48E9-BCC7-CFC7F6125D23}" dateTime="2022-12-02T11:04:55" maxSheetId="3" userName="nma" r:id="rId127" minRId="1294" maxRId="1297">
    <sheetIdMap count="2">
      <sheetId val="1"/>
      <sheetId val="2"/>
    </sheetIdMap>
  </header>
  <header guid="{56FCF77C-8E5A-4AF9-B8D9-D63E10C0E92F}" dateTime="2022-12-02T11:06:03" maxSheetId="3" userName="nma" r:id="rId128" minRId="1303" maxRId="1304">
    <sheetIdMap count="2">
      <sheetId val="1"/>
      <sheetId val="2"/>
    </sheetIdMap>
  </header>
  <header guid="{A6C6F1F5-6AE8-4048-9692-FF8C8EB84931}" dateTime="2022-12-02T11:06:29" maxSheetId="3" userName="nma" r:id="rId129" minRId="1310">
    <sheetIdMap count="2">
      <sheetId val="1"/>
      <sheetId val="2"/>
    </sheetIdMap>
  </header>
  <header guid="{DB80393D-5232-466F-8216-A1A9527B4519}" dateTime="2022-12-02T11:06:50" maxSheetId="3" userName="nma" r:id="rId130">
    <sheetIdMap count="2">
      <sheetId val="1"/>
      <sheetId val="2"/>
    </sheetIdMap>
  </header>
  <header guid="{2F6589D4-306C-4D05-B77C-EFA1D289DEB2}" dateTime="2022-12-02T11:12:10" maxSheetId="3" userName="nma" r:id="rId131" minRId="1321" maxRId="1323">
    <sheetIdMap count="2">
      <sheetId val="1"/>
      <sheetId val="2"/>
    </sheetIdMap>
  </header>
  <header guid="{2C385618-2647-4A07-9300-C91244C922CA}" dateTime="2022-12-02T11:14:48" maxSheetId="3" userName="pvn" r:id="rId132" minRId="1329" maxRId="1332">
    <sheetIdMap count="2">
      <sheetId val="1"/>
      <sheetId val="2"/>
    </sheetIdMap>
  </header>
  <header guid="{54AC5BB9-F4EB-4068-ABB9-87FD0E2CF8BD}" dateTime="2022-12-02T11:15:33" maxSheetId="3" userName="pvn" r:id="rId133">
    <sheetIdMap count="2">
      <sheetId val="1"/>
      <sheetId val="2"/>
    </sheetIdMap>
  </header>
  <header guid="{8F0432C4-9213-42A4-8169-C2660ADE2175}" dateTime="2022-12-02T11:30:02" maxSheetId="3" userName="nma" r:id="rId134">
    <sheetIdMap count="2">
      <sheetId val="1"/>
      <sheetId val="2"/>
    </sheetIdMap>
  </header>
  <header guid="{763E36D7-798C-4A49-93D5-BB46A1D0E84B}" dateTime="2022-12-02T11:30:44" maxSheetId="3" userName="nma" r:id="rId135" minRId="1348">
    <sheetIdMap count="2">
      <sheetId val="1"/>
      <sheetId val="2"/>
    </sheetIdMap>
  </header>
  <header guid="{D3946FBA-AD58-478E-B028-6C59136A4F7C}" dateTime="2022-12-02T11:30:56" maxSheetId="3" userName="nma" r:id="rId136">
    <sheetIdMap count="2">
      <sheetId val="1"/>
      <sheetId val="2"/>
    </sheetIdMap>
  </header>
  <header guid="{B941A899-F0E7-46C0-AE66-593ECECC992A}" dateTime="2022-12-02T11:32:08" maxSheetId="3" userName="nma" r:id="rId137">
    <sheetIdMap count="2">
      <sheetId val="1"/>
      <sheetId val="2"/>
    </sheetIdMap>
  </header>
  <header guid="{6FCD8514-9DCC-4F0D-8B8A-FD1E881F6DF2}" dateTime="2022-12-02T11:32:21" maxSheetId="3" userName="nma" r:id="rId138">
    <sheetIdMap count="2">
      <sheetId val="1"/>
      <sheetId val="2"/>
    </sheetIdMap>
  </header>
  <header guid="{E3F4BF9E-3A37-4994-89D5-DDEE2F6FD26C}" dateTime="2022-12-02T11:32:34" maxSheetId="3" userName="pvn" r:id="rId139" minRId="1369" maxRId="1380">
    <sheetIdMap count="2">
      <sheetId val="1"/>
      <sheetId val="2"/>
    </sheetIdMap>
  </header>
  <header guid="{2E606320-D088-4AE9-9D5C-38CE6EAAA506}" dateTime="2022-12-02T11:33:01" maxSheetId="3" userName="pvn" r:id="rId140" minRId="1386" maxRId="1397">
    <sheetIdMap count="2">
      <sheetId val="1"/>
      <sheetId val="2"/>
    </sheetIdMap>
  </header>
  <header guid="{9CFE5900-52C1-45BB-BBB2-BE6D87172771}" dateTime="2022-12-02T11:33:03" maxSheetId="3" userName="pvn" r:id="rId141">
    <sheetIdMap count="2">
      <sheetId val="1"/>
      <sheetId val="2"/>
    </sheetIdMap>
  </header>
  <header guid="{1564D4F9-16FE-4ABE-A3DD-8980EC41E12F}" dateTime="2022-12-02T11:36:16" maxSheetId="3" userName="nma" r:id="rId142">
    <sheetIdMap count="2">
      <sheetId val="1"/>
      <sheetId val="2"/>
    </sheetIdMap>
  </header>
  <header guid="{25D91C2C-452B-455A-B739-33E5F3FD41AA}" dateTime="2022-12-02T11:36:48" maxSheetId="3" userName="nma" r:id="rId143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fmt sheetId="1" sqref="G1:G1048576">
    <dxf>
      <fill>
        <patternFill>
          <bgColor theme="0"/>
        </patternFill>
      </fill>
    </dxf>
  </rfmt>
  <rfmt sheetId="1" sqref="K1:K1048576">
    <dxf>
      <fill>
        <patternFill>
          <bgColor theme="0"/>
        </patternFill>
      </fill>
    </dxf>
  </rfmt>
  <rfmt sheetId="1" sqref="O1:O1048576">
    <dxf>
      <fill>
        <patternFill>
          <bgColor theme="0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Лист1!$A$1:$V$215</formula>
    <oldFormula>Лист1!$A$1:$V$215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Лист1!$E$12:$E$215</formula>
    <oldFormula>Лист1!$E$12:$E$215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cc rId="1209" sId="1" numFmtId="4">
    <nc r="X9">
      <v>558237.5</v>
    </nc>
  </rcc>
  <rcc rId="1210" sId="1" numFmtId="4">
    <nc r="X10">
      <v>399802.6</v>
    </nc>
  </rcc>
  <rcc rId="1211" sId="1" numFmtId="4">
    <nc r="X12">
      <v>157729.20000000001</v>
    </nc>
  </rcc>
  <rcc rId="1212" sId="1" numFmtId="4">
    <nc r="X13">
      <v>135357.70000000001</v>
    </nc>
  </rcc>
  <rcc rId="1213" sId="1">
    <nc r="Y9">
      <f>I8-X9</f>
    </nc>
  </rcc>
  <rcc rId="1214" sId="1">
    <nc r="Y10">
      <f>X10-M8</f>
    </nc>
  </rcc>
  <rcc rId="1215" sId="1">
    <nc r="Y12">
      <f>X12-Q8</f>
    </nc>
  </rcc>
  <rcc rId="1216" sId="1">
    <nc r="Y13">
      <f>X13-U8</f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5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6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7.xml><?xml version="1.0" encoding="utf-8"?>
<revisions xmlns="http://schemas.openxmlformats.org/spreadsheetml/2006/main" xmlns:r="http://schemas.openxmlformats.org/officeDocument/2006/relationships"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8.xml><?xml version="1.0" encoding="utf-8"?>
<revisions xmlns="http://schemas.openxmlformats.org/spreadsheetml/2006/main" xmlns:r="http://schemas.openxmlformats.org/officeDocument/2006/relationships">
  <rcc rId="1310" sId="1" numFmtId="4">
    <nc r="L208">
      <v>6008.8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9.xml><?xml version="1.0" encoding="utf-8"?>
<revisions xmlns="http://schemas.openxmlformats.org/spreadsheetml/2006/main" xmlns:r="http://schemas.openxmlformats.org/officeDocument/2006/relationships">
  <rcc rId="1329" sId="1" numFmtId="4">
    <nc r="Q77">
      <v>10000</v>
    </nc>
  </rcc>
  <rcc rId="1330" sId="1" numFmtId="4">
    <nc r="Q80">
      <v>270.3</v>
    </nc>
  </rcc>
  <rcc rId="1331" sId="1" numFmtId="4">
    <nc r="Q169">
      <v>1134.0999999999999</v>
    </nc>
  </rcc>
  <rcc rId="1332" sId="1" numFmtId="4">
    <oc r="Q180">
      <v>41.7</v>
    </oc>
    <nc r="Q180">
      <v>41.6</v>
    </nc>
  </rcc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10.xml><?xml version="1.0" encoding="utf-8"?>
<revisions xmlns="http://schemas.openxmlformats.org/spreadsheetml/2006/main" xmlns:r="http://schemas.openxmlformats.org/officeDocument/2006/relationships">
  <rcc rId="1321" sId="1" numFmtId="4">
    <oc r="H95">
      <v>61782.6</v>
    </oc>
    <nc r="H95">
      <v>61782.7</v>
    </nc>
  </rcc>
  <rcc rId="1322" sId="1" numFmtId="4">
    <oc r="L95">
      <v>61782.6</v>
    </oc>
    <nc r="L95">
      <v>61782.7</v>
    </nc>
  </rcc>
  <rcc rId="1323" sId="1" numFmtId="4">
    <oc r="L87">
      <v>5064.3999999999996</v>
    </oc>
    <nc r="L87">
      <v>5064.3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c rId="959" sId="1" numFmtId="4">
    <oc r="K111">
      <v>40.9</v>
    </oc>
    <nc r="K111">
      <v>75.900000000000006</v>
    </nc>
  </rcc>
  <rcc rId="960" sId="1" numFmtId="4">
    <oc r="K121">
      <v>6171.1</v>
    </oc>
    <nc r="K121">
      <v>10244.4</v>
    </nc>
  </rcc>
  <rcv guid="{F6FA4751-5470-442B-8CE2-1DF7C5920E7E}" action="delete"/>
  <rdn rId="0" localSheetId="1" customView="1" name="Z_F6FA4751_5470_442B_8CE2_1DF7C5920E7E_.wvu.PrintArea" hidden="1" oldHidden="1">
    <formula>Лист1!$A$1:$V$212</formula>
    <oldFormula>Лист1!$A$1:$V$212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Лист1!$E$12:$E$212</formula>
    <oldFormula>Лист1!$E$12:$E$212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12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3.xml><?xml version="1.0" encoding="utf-8"?>
<revisions xmlns="http://schemas.openxmlformats.org/spreadsheetml/2006/main" xmlns:r="http://schemas.openxmlformats.org/officeDocument/2006/relationships">
  <rrc rId="966" sId="1" ref="A143:XFD143" action="insertRow"/>
  <rcc rId="967" sId="1">
    <nc r="C143" t="inlineStr">
      <is>
        <t>810</t>
      </is>
    </nc>
  </rcc>
  <rcc rId="968" sId="1">
    <nc r="D143" t="inlineStr">
      <is>
        <t>Департамент природных ресурсов и охраны окружающей среды Томской области</t>
      </is>
    </nc>
  </rcc>
  <rfmt sheetId="1" sqref="C143">
    <dxf>
      <alignment vertical="center" readingOrder="0"/>
    </dxf>
  </rfmt>
  <rcc rId="969" sId="1" xfDxf="1" dxf="1">
    <nc r="E143" t="inlineStr">
      <is>
        <t>26WG141260</t>
      </is>
    </nc>
    <ndxf>
      <font>
        <sz val="13"/>
        <name val="PT Astra Serif"/>
        <scheme val="none"/>
      </font>
      <fill>
        <patternFill patternType="solid">
          <bgColor theme="0"/>
        </patternFill>
      </fill>
      <alignment horizontal="center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E143">
    <dxf>
      <alignment vertical="center" readingOrder="0"/>
    </dxf>
  </rfmt>
  <rcc rId="970" sId="1">
    <nc r="F143">
      <f>G143+H143+I143</f>
    </nc>
  </rcc>
  <rcc rId="971" sId="1">
    <oc r="H141">
      <f>H144</f>
    </oc>
    <nc r="H141">
      <f>H143+H144</f>
    </nc>
  </rcc>
  <rcc rId="972" sId="1" odxf="1" dxf="1">
    <oc r="I141">
      <f>I144</f>
    </oc>
    <nc r="I141">
      <f>I143+I144</f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973" sId="1" odxf="1" dxf="1">
    <oc r="G141">
      <f>G144</f>
    </oc>
    <nc r="G141">
      <f>G143+G144</f>
    </nc>
    <ndxf>
      <fill>
        <patternFill patternType="none">
          <bgColor indexed="65"/>
        </patternFill>
      </fill>
    </ndxf>
  </rcc>
  <rcc rId="974" sId="1">
    <oc r="F141">
      <f>G141+H141+I141</f>
    </oc>
    <nc r="F141">
      <f>G141+H141+I141</f>
    </nc>
  </rcc>
  <rcc rId="975" sId="1">
    <oc r="J141">
      <f>K141+L141+M141</f>
    </oc>
    <nc r="J141">
      <f>K141+L141+M141</f>
    </nc>
  </rcc>
  <rcc rId="976" sId="1">
    <oc r="K141">
      <f>K144</f>
    </oc>
    <nc r="K141">
      <f>K144+K143</f>
    </nc>
  </rcc>
  <rcc rId="977" sId="1" odxf="1" dxf="1">
    <oc r="L141">
      <f>L144</f>
    </oc>
    <nc r="L141">
      <f>L144+L143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978" sId="1" odxf="1" dxf="1">
    <oc r="M141">
      <f>M144</f>
    </oc>
    <nc r="M141">
      <f>M144+M143</f>
    </nc>
    <odxf>
      <fill>
        <patternFill>
          <bgColor theme="0"/>
        </patternFill>
      </fill>
    </odxf>
    <ndxf>
      <fill>
        <patternFill>
          <bgColor rgb="FFFFFF00"/>
        </patternFill>
      </fill>
    </ndxf>
  </rcc>
  <rcc rId="979" sId="1">
    <oc r="O141">
      <f>O144</f>
    </oc>
    <nc r="O141">
      <f>O144+O143</f>
    </nc>
  </rcc>
  <rcc rId="980" sId="1" odxf="1" dxf="1">
    <oc r="P141">
      <f>P144</f>
    </oc>
    <nc r="P141">
      <f>P144+P143</f>
    </nc>
    <odxf>
      <fill>
        <patternFill>
          <bgColor theme="0"/>
        </patternFill>
      </fill>
    </odxf>
    <ndxf>
      <fill>
        <patternFill>
          <bgColor rgb="FFFFFF00"/>
        </patternFill>
      </fill>
    </ndxf>
  </rcc>
  <rcc rId="981" sId="1" odxf="1" dxf="1">
    <oc r="Q141">
      <f>Q144</f>
    </oc>
    <nc r="Q141">
      <f>Q144+Q143</f>
    </nc>
    <odxf>
      <fill>
        <patternFill>
          <bgColor theme="0"/>
        </patternFill>
      </fill>
    </odxf>
    <ndxf>
      <fill>
        <patternFill>
          <bgColor rgb="FFFFFF00"/>
        </patternFill>
      </fill>
    </ndxf>
  </rcc>
  <rcc rId="982" sId="1">
    <oc r="S141">
      <f>S144</f>
    </oc>
    <nc r="S141">
      <f>S144+S143</f>
    </nc>
  </rcc>
  <rcc rId="983" sId="1">
    <oc r="T141">
      <f>T144</f>
    </oc>
    <nc r="T141">
      <f>T144+T143</f>
    </nc>
  </rcc>
  <rcc rId="984" sId="1">
    <oc r="U141">
      <f>U144</f>
    </oc>
    <nc r="U141">
      <f>U144+U143</f>
    </nc>
  </rcc>
  <rcc rId="985" sId="1" odxf="1" dxf="1">
    <nc r="V143">
      <f>J143/F143</f>
    </nc>
    <odxf>
      <font>
        <b/>
        <sz val="14"/>
        <name val="PT Astra Serif"/>
        <scheme val="none"/>
      </font>
    </odxf>
    <ndxf>
      <font>
        <b val="0"/>
        <sz val="14"/>
        <name val="PT Astra Serif"/>
        <scheme val="none"/>
      </font>
    </ndxf>
  </rcc>
  <rcv guid="{FE09AB06-1ECE-4486-BCA1-E9D85830708B}" action="delete"/>
  <rdn rId="0" localSheetId="1" customView="1" name="Z_FE09AB06_1ECE_4486_BCA1_E9D85830708B_.wvu.PrintArea" hidden="1" oldHidden="1">
    <formula>Лист1!$A$1:$V$213</formula>
    <oldFormula>Лист1!$A$1:$V$213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Лист1!$E$12:$E$213</formula>
    <oldFormula>Лист1!$E$12:$E$213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4.xml><?xml version="1.0" encoding="utf-8"?>
<revisions xmlns="http://schemas.openxmlformats.org/spreadsheetml/2006/main" xmlns:r="http://schemas.openxmlformats.org/officeDocument/2006/relationships">
  <rfmt sheetId="1" sqref="L142:R142">
    <dxf>
      <fill>
        <patternFill>
          <bgColor theme="0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Лист1!$A$1:$V$210</formula>
    <oldFormula>Лист1!$A$1:$V$210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Лист1!$E$12:$E$210</formula>
    <oldFormula>Лист1!$E$12:$E$210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22.xml><?xml version="1.0" encoding="utf-8"?>
<revisions xmlns="http://schemas.openxmlformats.org/spreadsheetml/2006/main" xmlns:r="http://schemas.openxmlformats.org/officeDocument/2006/relationships">
  <rcc rId="1386" sId="1">
    <oc r="X8">
      <f>F8-I8</f>
    </oc>
    <nc r="X8"/>
  </rcc>
  <rcc rId="1387" sId="1">
    <oc r="Y8">
      <f>J8-M8</f>
    </oc>
    <nc r="Y8"/>
  </rcc>
  <rcc rId="1388" sId="1">
    <oc r="Z8">
      <f>N8-Q8</f>
    </oc>
    <nc r="Z8"/>
  </rcc>
  <rcc rId="1389" sId="1">
    <oc r="AA8">
      <f>R8-U8</f>
    </oc>
    <nc r="AA8"/>
  </rcc>
  <rcc rId="1390" sId="1" numFmtId="4">
    <oc r="X9">
      <v>17876938.199999999</v>
    </oc>
    <nc r="X9"/>
  </rcc>
  <rcc rId="1391" sId="1" numFmtId="4">
    <oc r="Y9">
      <v>10972718.300000001</v>
    </oc>
    <nc r="Y9"/>
  </rcc>
  <rcc rId="1392" sId="1" numFmtId="4">
    <oc r="Z9">
      <v>15397990.9</v>
    </oc>
    <nc r="Z9"/>
  </rcc>
  <rcc rId="1393" sId="1">
    <oc r="AA9">
      <v>14555838.43</v>
    </oc>
    <nc r="AA9"/>
  </rcc>
  <rcc rId="1394" sId="1">
    <oc r="X10">
      <f>X8-X9</f>
    </oc>
    <nc r="X10"/>
  </rcc>
  <rcc rId="1395" sId="1">
    <oc r="Y10">
      <f>Y8-Y9</f>
    </oc>
    <nc r="Y10"/>
  </rcc>
  <rcc rId="1396" sId="1">
    <oc r="Z10">
      <f>Z8-Z9</f>
    </oc>
    <nc r="Z10"/>
  </rcc>
  <rcc rId="1397" sId="1">
    <oc r="AA10">
      <f>AA8-AA9</f>
    </oc>
    <nc r="AA10"/>
  </rcc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c rId="1041" sId="1" numFmtId="4">
    <oc r="G211">
      <f>1524.8-1524.8</f>
    </oc>
    <nc r="G211">
      <v>942.6</v>
    </nc>
  </rcc>
  <rcc rId="1042" sId="1" numFmtId="4">
    <oc r="H211">
      <f>49301.7-49301.7</f>
    </oc>
    <nc r="H211">
      <v>30475.8</v>
    </nc>
  </rcc>
  <rcv guid="{FE09AB06-1ECE-4486-BCA1-E9D85830708B}" action="delete"/>
  <rdn rId="0" localSheetId="1" customView="1" name="Z_FE09AB06_1ECE_4486_BCA1_E9D85830708B_.wvu.PrintArea" hidden="1" oldHidden="1">
    <formula>Лист1!$A$1:$V$213</formula>
    <oldFormula>Лист1!$A$1:$V$213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Лист1!$E$12:$E$213</formula>
    <oldFormula>Лист1!$E$12:$E$213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41.xml><?xml version="1.0" encoding="utf-8"?>
<revisions xmlns="http://schemas.openxmlformats.org/spreadsheetml/2006/main" xmlns:r="http://schemas.openxmlformats.org/officeDocument/2006/relationships">
  <rcc rId="1124" sId="1" numFmtId="4">
    <oc r="L79">
      <v>233187.7</v>
    </oc>
    <nc r="L79">
      <v>303630.8</v>
    </nc>
  </rcc>
  <rcc rId="1125" sId="1" numFmtId="4">
    <oc r="L87">
      <v>2497.1</v>
    </oc>
    <nc r="L87">
      <v>5064.3</v>
    </nc>
  </rcc>
  <rrc rId="1126" sId="1" ref="A106:XFD106" action="insertRow"/>
  <rcc rId="1127" sId="1" xfDxf="1" dxf="1">
    <nc r="E106" t="inlineStr">
      <is>
        <t>09WEВ5179F</t>
      </is>
    </nc>
    <ndxf>
      <font>
        <sz val="13"/>
        <name val="PT Astra Serif"/>
        <scheme val="none"/>
      </font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28" sId="1">
    <nc r="F106">
      <f>G106+H106+I106</f>
    </nc>
  </rcc>
  <rcc rId="1129" sId="1">
    <nc r="J106">
      <f>K106+L106+M106</f>
    </nc>
  </rcc>
  <rcc rId="1130" sId="1">
    <nc r="N106">
      <f>O106+P106+Q106</f>
    </nc>
  </rcc>
  <rcc rId="1131" sId="1">
    <nc r="R106">
      <f>S106+T106+U106</f>
    </nc>
  </rcc>
  <rcc rId="1132" sId="1">
    <nc r="V105">
      <f>J105/F105</f>
    </nc>
  </rcc>
  <rcc rId="1133" sId="1">
    <nc r="V106">
      <f>J106/F106</f>
    </nc>
  </rcc>
  <rcc rId="1134" sId="1">
    <nc r="C106" t="inlineStr">
      <is>
        <t>815</t>
      </is>
    </nc>
  </rcc>
  <rcc rId="1135" sId="1">
    <nc r="D106" t="inlineStr">
      <is>
        <t>Департамент общего образования Томской области</t>
      </is>
    </nc>
  </rcc>
  <rcc rId="1136" sId="1" numFmtId="4">
    <nc r="H106">
      <v>25065.4</v>
    </nc>
  </rcc>
  <rcc rId="1137" sId="1">
    <nc r="B106" t="inlineStr">
      <is>
        <t>Финансовое обеспечение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    </is>
    </nc>
  </rcc>
  <rfmt sheetId="1" sqref="B105:B106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5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6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71.xml><?xml version="1.0" encoding="utf-8"?>
<revisions xmlns="http://schemas.openxmlformats.org/spreadsheetml/2006/main" xmlns:r="http://schemas.openxmlformats.org/officeDocument/2006/relationships">
  <rfmt sheetId="1" sqref="H136">
    <dxf>
      <fill>
        <patternFill patternType="solid">
          <bgColor theme="3" tint="0.79998168889431442"/>
        </patternFill>
      </fill>
    </dxf>
  </rfmt>
  <rfmt sheetId="1" sqref="H141">
    <dxf>
      <fill>
        <patternFill patternType="solid">
          <bgColor theme="3" tint="0.79998168889431442"/>
        </patternFill>
      </fill>
    </dxf>
  </rfmt>
  <rcc rId="1274" sId="1" numFmtId="4">
    <oc r="L137">
      <v>1218.3</v>
    </oc>
    <nc r="L137">
      <v>3387.2</v>
    </nc>
  </rcc>
  <rfmt sheetId="1" sqref="H137">
    <dxf>
      <fill>
        <patternFill patternType="solid">
          <bgColor theme="3" tint="0.79998168889431442"/>
        </patternFill>
      </fill>
    </dxf>
  </rfmt>
  <rcc rId="1275" sId="1" numFmtId="4">
    <oc r="H145">
      <v>78631.3</v>
    </oc>
    <nc r="H145">
      <v>7509.7</v>
    </nc>
  </rcc>
  <rfmt sheetId="1" sqref="H136:H141">
    <dxf>
      <fill>
        <patternFill>
          <bgColor theme="0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81.xml><?xml version="1.0" encoding="utf-8"?>
<revisions xmlns="http://schemas.openxmlformats.org/spreadsheetml/2006/main" xmlns:r="http://schemas.openxmlformats.org/officeDocument/2006/relationships">
  <rcc rId="1268" sId="1" numFmtId="4">
    <oc r="U180">
      <v>41.7</v>
    </oc>
    <nc r="U180">
      <v>41.6</v>
    </nc>
  </rcc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91.xml><?xml version="1.0" encoding="utf-8"?>
<revisions xmlns="http://schemas.openxmlformats.org/spreadsheetml/2006/main" xmlns:r="http://schemas.openxmlformats.org/officeDocument/2006/relationships">
  <rcc rId="1303" sId="1" numFmtId="4">
    <oc r="L190">
      <v>786.3</v>
    </oc>
    <nc r="L190">
      <v>6942.8</v>
    </nc>
  </rcc>
  <rcc rId="1304" sId="1" numFmtId="4">
    <oc r="L200">
      <v>29056</v>
    </oc>
    <nc r="L200">
      <v>32091.3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0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11.xml><?xml version="1.0" encoding="utf-8"?>
<revisions xmlns="http://schemas.openxmlformats.org/spreadsheetml/2006/main" xmlns:r="http://schemas.openxmlformats.org/officeDocument/2006/relationships">
  <rcc rId="883" sId="1">
    <oc r="A1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01.11.2022</t>
      </is>
    </oc>
    <nc r="A1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01.12.2022</t>
      </is>
    </nc>
  </rcc>
  <rfmt sheetId="1" sqref="G1:G1048576">
    <dxf>
      <fill>
        <patternFill>
          <bgColor rgb="FFFFFF00"/>
        </patternFill>
      </fill>
    </dxf>
  </rfmt>
  <rfmt sheetId="1" sqref="K1:K1048576">
    <dxf>
      <fill>
        <patternFill>
          <bgColor rgb="FFFFFF00"/>
        </patternFill>
      </fill>
    </dxf>
  </rfmt>
  <rfmt sheetId="1" sqref="O1:O1048576">
    <dxf>
      <fill>
        <patternFill>
          <bgColor rgb="FFFFFF00"/>
        </patternFill>
      </fill>
    </dxf>
  </rfmt>
  <rcc rId="884" sId="1" numFmtId="4">
    <oc r="K20">
      <v>73352.600000000006</v>
    </oc>
    <nc r="K20">
      <v>79883.600000000006</v>
    </nc>
  </rcc>
  <rcc rId="885" sId="1" numFmtId="4">
    <oc r="K21">
      <v>2552.9</v>
    </oc>
    <nc r="K21">
      <v>2876.6</v>
    </nc>
  </rcc>
  <rcc rId="886" sId="1" numFmtId="4">
    <oc r="K22">
      <v>1137.7</v>
    </oc>
    <nc r="K22">
      <v>2133.6999999999998</v>
    </nc>
  </rcc>
  <rcc rId="887" sId="1" numFmtId="4">
    <oc r="K27">
      <v>85</v>
    </oc>
    <nc r="K27">
      <v>98.1</v>
    </nc>
  </rcc>
  <rcc rId="888" sId="1" numFmtId="4">
    <oc r="K29">
      <v>130069</v>
    </oc>
    <nc r="K29">
      <v>130536.6</v>
    </nc>
  </rcc>
  <rcc rId="889" sId="1" numFmtId="4">
    <oc r="K33">
      <v>59361.9</v>
    </oc>
    <nc r="K33">
      <v>66724</v>
    </nc>
  </rcc>
  <rcc rId="890" sId="1" numFmtId="4">
    <oc r="G35">
      <v>133592.20000000001</v>
    </oc>
    <nc r="G35">
      <v>133407.29999999999</v>
    </nc>
  </rcc>
  <rcc rId="891" sId="1" numFmtId="4">
    <oc r="K35">
      <v>112355.5</v>
    </oc>
    <nc r="K35">
      <v>114700.5</v>
    </nc>
  </rcc>
  <rrc rId="892" sId="1" ref="A34:XFD34" action="insertRow"/>
  <rcc rId="893" sId="1">
    <nc r="D34" t="inlineStr">
      <is>
        <t>Департамент социальной защиты населения Томской области</t>
      </is>
    </nc>
  </rcc>
  <rcc rId="894" sId="1">
    <nc r="E34" t="inlineStr">
      <is>
        <t>11WP15084F</t>
      </is>
    </nc>
  </rcc>
  <rcc rId="895" sId="1">
    <nc r="F34">
      <f>G34+H34+I34</f>
    </nc>
  </rcc>
  <rcc rId="896" sId="1">
    <nc r="J34">
      <f>K34+L34+M34</f>
    </nc>
  </rcc>
  <rcc rId="897" sId="1">
    <nc r="N34">
      <f>O34+P34+Q34</f>
    </nc>
  </rcc>
  <rcc rId="898" sId="1">
    <nc r="R34">
      <f>S34+T34+U34</f>
    </nc>
  </rcc>
  <rcc rId="899" sId="1" odxf="1" dxf="1">
    <nc r="B34" t="inlineStr">
      <is>
    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лет, за счет средств резервного фонда Правительства Российской Федерации</t>
      </is>
    </nc>
    <odxf>
      <font>
        <i/>
        <sz val="13"/>
        <name val="PT Astra Serif"/>
        <scheme val="none"/>
      </font>
      <numFmt numFmtId="0" formatCode="General"/>
      <fill>
        <patternFill patternType="solid">
          <bgColor theme="0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i val="0"/>
        <sz val="8"/>
        <color auto="1"/>
        <name val="Arial Cyr"/>
        <scheme val="none"/>
      </font>
      <numFmt numFmtId="30" formatCode="@"/>
      <fill>
        <patternFill patternType="none">
          <bgColor indexed="65"/>
        </patternFill>
      </fill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fmt sheetId="1" sqref="B34" start="0" length="2147483647">
    <dxf>
      <font>
        <name val="PT Astra Serif"/>
        <scheme val="none"/>
      </font>
    </dxf>
  </rfmt>
  <rfmt sheetId="1" sqref="B34" start="0" length="2147483647">
    <dxf>
      <font/>
    </dxf>
  </rfmt>
  <rfmt sheetId="1" sqref="B34" start="0" length="2147483647">
    <dxf>
      <font>
        <sz val="13"/>
      </font>
    </dxf>
  </rfmt>
  <rcc rId="900" sId="1">
    <nc r="C34">
      <v>809</v>
    </nc>
  </rcc>
  <rcc rId="901" sId="1" numFmtId="4">
    <nc r="G34">
      <v>184.9</v>
    </nc>
  </rcc>
  <rcc rId="902" sId="1">
    <oc r="F31">
      <f>G31+H31+I31</f>
    </oc>
    <nc r="F31">
      <f>G31+H31+I31</f>
    </nc>
  </rcc>
  <rcc rId="903" sId="1">
    <oc r="G31">
      <f>SUM(G33:G36)</f>
    </oc>
    <nc r="G31">
      <f>SUM(G33:G36)</f>
    </nc>
  </rcc>
  <rcc rId="904" sId="1" numFmtId="4">
    <oc r="K45">
      <v>1444.1</v>
    </oc>
    <nc r="K45">
      <v>1518</v>
    </nc>
  </rcc>
  <rcc rId="905" sId="1" numFmtId="4">
    <oc r="K49">
      <v>129754.9</v>
    </oc>
    <nc r="K49">
      <v>151926.29999999999</v>
    </nc>
  </rcc>
  <rcc rId="906" sId="1" numFmtId="4">
    <oc r="K51">
      <v>764.5</v>
    </oc>
    <nc r="K51">
      <v>10491.4</v>
    </nc>
  </rcc>
  <rcc rId="907" sId="1" numFmtId="4">
    <oc r="K52">
      <v>3678.8</v>
    </oc>
    <nc r="K52">
      <v>3695.3</v>
    </nc>
  </rcc>
  <rcc rId="908" sId="1" numFmtId="4">
    <oc r="G60">
      <v>2433.6999999999998</v>
    </oc>
    <nc r="G60">
      <v>2433.6</v>
    </nc>
  </rcc>
  <rcc rId="909" sId="1" numFmtId="4">
    <oc r="K60">
      <v>2020.2</v>
    </oc>
    <nc r="K60">
      <v>2203.8000000000002</v>
    </nc>
  </rcc>
  <rcc rId="910" sId="1" numFmtId="4">
    <oc r="K61">
      <v>880.8</v>
    </oc>
    <nc r="K61">
      <v>884.5</v>
    </nc>
  </rcc>
  <rcc rId="911" sId="1" numFmtId="4">
    <oc r="K66">
      <v>98.6</v>
    </oc>
    <nc r="K66">
      <v>120.5</v>
    </nc>
  </rcc>
  <rcc rId="912" sId="1" numFmtId="4">
    <oc r="K67">
      <v>3923.1</v>
    </oc>
    <nc r="K67">
      <v>3966.2</v>
    </nc>
  </rcc>
  <rcc rId="913" sId="1" numFmtId="4">
    <oc r="K58">
      <v>2870.9</v>
    </oc>
    <nc r="K58">
      <v>2898</v>
    </nc>
  </rcc>
  <rcc rId="914" sId="1" numFmtId="4">
    <oc r="G61">
      <v>7062</v>
    </oc>
    <nc r="G61">
      <v>7062.1</v>
    </nc>
  </rcc>
  <rcc rId="915" sId="1" numFmtId="4">
    <oc r="K72">
      <v>82143.600000000006</v>
    </oc>
    <nc r="K72">
      <v>119031.6</v>
    </nc>
  </rcc>
  <rcc rId="916" sId="1" numFmtId="4">
    <oc r="G73">
      <v>35991.599999999999</v>
    </oc>
    <nc r="G73">
      <v>32173.5</v>
    </nc>
  </rcc>
  <rcc rId="917" sId="1" numFmtId="4">
    <oc r="K74">
      <v>4455.3</v>
    </oc>
    <nc r="K74">
      <v>5079.3999999999996</v>
    </nc>
  </rcc>
  <rcc rId="918" sId="1" numFmtId="4">
    <oc r="G77">
      <v>213549.3</v>
    </oc>
    <nc r="G77">
      <v>5.2</v>
    </nc>
  </rcc>
  <rcc rId="919" sId="1" numFmtId="4">
    <oc r="G80">
      <v>48765.599999999999</v>
    </oc>
    <nc r="G80">
      <v>0</v>
    </nc>
  </rcc>
  <rcc rId="920" sId="1" numFmtId="4">
    <oc r="G84">
      <v>1000</v>
    </oc>
    <nc r="G84">
      <v>948.8</v>
    </nc>
  </rcc>
  <rcc rId="921" sId="1" numFmtId="4">
    <oc r="K87">
      <v>77.2</v>
    </oc>
    <nc r="K87">
      <v>156.6</v>
    </nc>
  </rcc>
  <rcc rId="922" sId="1" numFmtId="4">
    <oc r="G98">
      <v>766.4</v>
    </oc>
    <nc r="G98">
      <v>572.70000000000005</v>
    </nc>
  </rcc>
  <rcc rId="923" sId="1" numFmtId="4">
    <oc r="G105">
      <v>2458.6999999999998</v>
    </oc>
    <nc r="G105">
      <v>2308.4</v>
    </nc>
  </rcc>
  <rcc rId="924" sId="1" numFmtId="4">
    <oc r="K105">
      <v>107.1</v>
    </oc>
    <nc r="K105">
      <v>620.20000000000005</v>
    </nc>
  </rcc>
  <rrc rId="925" sId="1" ref="A105:XFD105" action="insertRow"/>
  <rcc rId="926" sId="1">
    <nc r="C105">
      <v>815</v>
    </nc>
  </rcc>
  <rcc rId="927" sId="1" odxf="1" dxf="1">
    <nc r="D105" t="inlineStr">
      <is>
        <t>Департамент общего образования Томской области</t>
      </is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928" sId="1" xfDxf="1" dxf="1">
    <nc r="E105" t="inlineStr">
      <is>
        <t>09WEВ5179</t>
      </is>
    </nc>
    <ndxf>
      <font>
        <sz val="13"/>
        <name val="PT Astra Serif"/>
        <scheme val="none"/>
      </font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29" sId="1">
    <nc r="F105">
      <f>G105+H105+I105</f>
    </nc>
  </rcc>
  <rcc rId="930" sId="1">
    <oc r="J103">
      <f>J106</f>
    </oc>
    <nc r="J103">
      <f>K103+L103+M103</f>
    </nc>
  </rcc>
  <rcc rId="931" sId="1">
    <nc r="J105">
      <f>K105+L105+M105</f>
    </nc>
  </rcc>
  <rcc rId="932" sId="1">
    <oc r="N102">
      <f>O102+P102+Q102</f>
    </oc>
    <nc r="N102">
      <f>O102+P102+Q102</f>
    </nc>
  </rcc>
  <rcc rId="933" sId="1">
    <nc r="R105">
      <f>S105+T105+U105</f>
    </nc>
  </rcc>
  <rcc rId="934" sId="1" odxf="1" dxf="1">
    <nc r="B105" t="inlineStr">
      <is>
        <t>Финансовое обеспечение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    </is>
    </nc>
    <odxf>
      <font>
        <sz val="13"/>
        <name val="PT Astra Serif"/>
        <scheme val="none"/>
      </font>
      <numFmt numFmtId="0" formatCode="General"/>
      <fill>
        <patternFill patternType="solid">
          <bgColor theme="0"/>
        </patternFill>
      </fill>
      <alignment wrapText="0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8"/>
        <color auto="1"/>
        <name val="Arial Cyr"/>
        <scheme val="none"/>
      </font>
      <numFmt numFmtId="30" formatCode="@"/>
      <fill>
        <patternFill patternType="none">
          <bgColor indexed="65"/>
        </patternFill>
      </fill>
      <alignment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fmt sheetId="1" sqref="B105" start="0" length="2147483647">
    <dxf>
      <font>
        <name val="Arial Rounded MT Bold"/>
        <scheme val="none"/>
      </font>
    </dxf>
  </rfmt>
  <rfmt sheetId="1" sqref="B105" start="0" length="2147483647">
    <dxf>
      <font>
        <name val="PT Astra Serif"/>
        <scheme val="none"/>
      </font>
    </dxf>
  </rfmt>
  <rfmt sheetId="1" sqref="B105" start="0" length="2147483647">
    <dxf>
      <font>
        <sz val="13"/>
      </font>
    </dxf>
  </rfmt>
  <rcc rId="935" sId="1" numFmtId="4">
    <nc r="G105">
      <v>775.3</v>
    </nc>
  </rcc>
  <rcc rId="936" sId="1">
    <oc r="F103">
      <f>F106</f>
    </oc>
    <nc r="F103">
      <f>G103+H103+I103</f>
    </nc>
  </rcc>
  <rcc rId="937" sId="1">
    <oc r="G103">
      <f>G106</f>
    </oc>
    <nc r="G103">
      <f>G106+G105</f>
    </nc>
  </rcc>
  <rfmt sheetId="1" sqref="H103" start="0" length="0">
    <dxf>
      <fill>
        <patternFill patternType="solid">
          <bgColor rgb="FFFFFF00"/>
        </patternFill>
      </fill>
    </dxf>
  </rfmt>
  <rcc rId="938" sId="1" odxf="1" dxf="1">
    <oc r="I103">
      <f>I106</f>
    </oc>
    <nc r="I103">
      <f>I106+I105</f>
    </nc>
    <odxf>
      <fill>
        <patternFill>
          <bgColor theme="0"/>
        </patternFill>
      </fill>
    </odxf>
    <ndxf>
      <fill>
        <patternFill>
          <bgColor rgb="FFFFFF00"/>
        </patternFill>
      </fill>
    </ndxf>
  </rcc>
  <rfmt sheetId="1" sqref="H103:I103">
    <dxf>
      <fill>
        <patternFill patternType="none">
          <bgColor auto="1"/>
        </patternFill>
      </fill>
    </dxf>
  </rfmt>
  <rcc rId="939" sId="1">
    <oc r="H103">
      <f>H106</f>
    </oc>
    <nc r="H103">
      <f>H106+H105</f>
    </nc>
  </rcc>
  <rcc rId="940" sId="1">
    <oc r="K103">
      <f>K106</f>
    </oc>
    <nc r="K103">
      <f>K106+K105</f>
    </nc>
  </rcc>
  <rcc rId="941" sId="1" odxf="1" dxf="1">
    <oc r="L103">
      <f>L106</f>
    </oc>
    <nc r="L103">
      <f>L106+L105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942" sId="1" odxf="1" dxf="1">
    <oc r="M103">
      <f>M106</f>
    </oc>
    <nc r="M103">
      <f>M106+M105</f>
    </nc>
    <odxf>
      <fill>
        <patternFill>
          <bgColor theme="0"/>
        </patternFill>
      </fill>
    </odxf>
    <ndxf>
      <fill>
        <patternFill>
          <bgColor rgb="FFFFFF00"/>
        </patternFill>
      </fill>
    </ndxf>
  </rcc>
  <rcc rId="943" sId="1" odxf="1" dxf="1">
    <oc r="N103">
      <f>O103+P103+Q103</f>
    </oc>
    <nc r="N103">
      <f>N106+N105</f>
    </nc>
    <ndxf>
      <font>
        <b val="0"/>
        <sz val="14"/>
        <name val="PT Astra Serif"/>
        <scheme val="none"/>
      </font>
      <fill>
        <patternFill patternType="solid">
          <bgColor rgb="FFFFFF00"/>
        </patternFill>
      </fill>
    </ndxf>
  </rcc>
  <rfmt sheetId="1" sqref="L103:N103">
    <dxf>
      <fill>
        <patternFill patternType="none">
          <bgColor auto="1"/>
        </patternFill>
      </fill>
    </dxf>
  </rfmt>
  <rcc rId="944" sId="1" odxf="1" dxf="1">
    <nc r="O103">
      <f>O106+O105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945" sId="1" odxf="1" dxf="1">
    <nc r="P103">
      <f>P106+P105</f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946" sId="1" odxf="1" dxf="1">
    <nc r="Q103">
      <f>Q106+Q105</f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947" sId="1">
    <oc r="R103">
      <f>S103+T103+U103</f>
    </oc>
    <nc r="R103">
      <f>S103+T103+U103</f>
    </nc>
  </rcc>
  <rcc rId="948" sId="1">
    <nc r="S103">
      <f>S105+S106</f>
    </nc>
  </rcc>
  <rcc rId="949" sId="1">
    <nc r="T103">
      <f>T105+T106</f>
    </nc>
  </rcc>
  <rcc rId="950" sId="1">
    <nc r="U103">
      <f>U105+U106</f>
    </nc>
  </rcc>
  <rcc rId="951" sId="1">
    <nc r="N105">
      <f>O105+P105+Q105</f>
    </nc>
  </rcc>
  <rcc rId="952" sId="1" numFmtId="4">
    <oc r="K79">
      <v>7212</v>
    </oc>
    <nc r="K79">
      <v>9390.6</v>
    </nc>
  </rcc>
  <rcc rId="953" sId="1" numFmtId="4">
    <oc r="O88">
      <v>150527.20000000001</v>
    </oc>
    <nc r="O88">
      <v>150527.29999999999</v>
    </nc>
  </rcc>
  <rcv guid="{F6FA4751-5470-442B-8CE2-1DF7C5920E7E}" action="delete"/>
  <rdn rId="0" localSheetId="1" customView="1" name="Z_F6FA4751_5470_442B_8CE2_1DF7C5920E7E_.wvu.PrintArea" hidden="1" oldHidden="1">
    <formula>Лист1!$A$1:$V$212</formula>
    <oldFormula>Лист1!$A$1:$V$212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Лист1!$E$12:$E$212</formula>
    <oldFormula>Лист1!$E$12:$E$212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12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c rId="831" sId="1" xfDxf="1" dxf="1" numFmtId="4">
    <oc r="L34">
      <v>1000520</v>
    </oc>
    <nc r="L34">
      <v>1000675.8</v>
    </nc>
    <ndxf>
      <font>
        <sz val="14"/>
        <name val="PT Astra Serif"/>
        <scheme val="none"/>
      </font>
      <numFmt numFmtId="164" formatCode="#,##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32" sId="1" xfDxf="1" dxf="1" numFmtId="4">
    <oc r="L33">
      <v>397403.5</v>
    </oc>
    <nc r="L33">
      <v>397267.9</v>
    </nc>
    <ndxf>
      <font>
        <sz val="14"/>
        <name val="PT Astra Serif"/>
        <scheme val="none"/>
      </font>
      <numFmt numFmtId="164" formatCode="#,##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33" sId="1" xfDxf="1" dxf="1" numFmtId="4">
    <oc r="K33">
      <v>59382.1</v>
    </oc>
    <nc r="K33">
      <v>59361.9</v>
    </nc>
    <ndxf>
      <font>
        <sz val="14"/>
        <name val="PT Astra Serif"/>
        <scheme val="none"/>
      </font>
      <numFmt numFmtId="164" formatCode="#,##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v guid="{FE09AB06-1ECE-4486-BCA1-E9D85830708B}" action="delete"/>
  <rdn rId="0" localSheetId="1" customView="1" name="Z_FE09AB06_1ECE_4486_BCA1_E9D85830708B_.wvu.PrintArea" hidden="1" oldHidden="1">
    <formula>Лист1!$A$1:$V$210</formula>
    <oldFormula>Лист1!$A$1:$V$210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Лист1!$E$12:$E$210</formula>
    <oldFormula>Лист1!$E$12:$E$210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221.xml><?xml version="1.0" encoding="utf-8"?>
<revisions xmlns="http://schemas.openxmlformats.org/spreadsheetml/2006/main" xmlns:r="http://schemas.openxmlformats.org/officeDocument/2006/relationships">
  <rcc rId="1369" sId="1">
    <nc r="X8">
      <f>F8-I8</f>
    </nc>
  </rcc>
  <rcc rId="1370" sId="1" odxf="1" dxf="1">
    <nc r="Y8">
      <f>J8-M8</f>
    </nc>
    <odxf>
      <numFmt numFmtId="0" formatCode="General"/>
    </odxf>
    <ndxf>
      <numFmt numFmtId="164" formatCode="#,##0.0"/>
    </ndxf>
  </rcc>
  <rcc rId="1371" sId="1" odxf="1" dxf="1">
    <nc r="Z8">
      <f>N8-Q8</f>
    </nc>
    <odxf>
      <numFmt numFmtId="0" formatCode="General"/>
    </odxf>
    <ndxf>
      <numFmt numFmtId="164" formatCode="#,##0.0"/>
    </ndxf>
  </rcc>
  <rcc rId="1372" sId="1" odxf="1" dxf="1">
    <nc r="AA8">
      <f>R8-U8</f>
    </nc>
    <odxf>
      <numFmt numFmtId="0" formatCode="General"/>
    </odxf>
    <ndxf>
      <numFmt numFmtId="164" formatCode="#,##0.0"/>
    </ndxf>
  </rcc>
  <rcc rId="1373" sId="1" numFmtId="4">
    <nc r="X9">
      <v>17876938.199999999</v>
    </nc>
  </rcc>
  <rcc rId="1374" sId="1" numFmtId="4">
    <nc r="Y9">
      <v>10972718.300000001</v>
    </nc>
  </rcc>
  <rcc rId="1375" sId="1" numFmtId="4">
    <nc r="Z9">
      <v>15397990.9</v>
    </nc>
  </rcc>
  <rcc rId="1376" sId="1">
    <nc r="AA9">
      <v>14555838.43</v>
    </nc>
  </rcc>
  <rcc rId="1377" sId="1">
    <nc r="X10">
      <f>X8-X9</f>
    </nc>
  </rcc>
  <rcc rId="1378" sId="1" odxf="1" dxf="1">
    <nc r="Y10">
      <f>Y8-Y9</f>
    </nc>
    <odxf>
      <font>
        <name val="PT Astra Serif"/>
        <scheme val="none"/>
      </font>
    </odxf>
    <ndxf>
      <font>
        <sz val="11"/>
        <color theme="1"/>
        <name val="Calibri"/>
        <scheme val="minor"/>
      </font>
    </ndxf>
  </rcc>
  <rcc rId="1379" sId="1" odxf="1" dxf="1">
    <nc r="Z10">
      <f>Z8-Z9</f>
    </nc>
    <odxf>
      <font>
        <name val="PT Astra Serif"/>
        <scheme val="none"/>
      </font>
    </odxf>
    <ndxf>
      <font>
        <sz val="11"/>
        <color theme="1"/>
        <name val="Calibri"/>
        <scheme val="minor"/>
      </font>
    </ndxf>
  </rcc>
  <rcc rId="1380" sId="1" odxf="1" dxf="1">
    <nc r="AA10">
      <f>AA8-AA9</f>
    </nc>
    <odxf>
      <font>
        <name val="PT Astra Serif"/>
        <scheme val="none"/>
      </font>
    </odxf>
    <ndxf>
      <font>
        <sz val="11"/>
        <color theme="1"/>
        <name val="Calibri"/>
        <scheme val="minor"/>
      </font>
    </ndxf>
  </rcc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cc rId="1033" sId="1" numFmtId="4">
    <oc r="K200">
      <v>1020.5</v>
    </oc>
    <nc r="K200">
      <v>1030.9000000000001</v>
    </nc>
  </rcc>
  <rcc rId="1034" sId="1" numFmtId="4">
    <oc r="K199">
      <v>898.6</v>
    </oc>
    <nc r="K199">
      <v>992.5</v>
    </nc>
  </rcc>
  <rcc rId="1035" sId="1" numFmtId="4">
    <oc r="K189">
      <v>24.3</v>
    </oc>
    <nc r="K189">
      <v>214.7</v>
    </nc>
  </rcc>
  <rcv guid="{FE09AB06-1ECE-4486-BCA1-E9D85830708B}" action="delete"/>
  <rdn rId="0" localSheetId="1" customView="1" name="Z_FE09AB06_1ECE_4486_BCA1_E9D85830708B_.wvu.PrintArea" hidden="1" oldHidden="1">
    <formula>Лист1!$A$1:$V$213</formula>
    <oldFormula>Лист1!$A$1:$V$213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Лист1!$E$12:$E$213</formula>
    <oldFormula>Лист1!$E$12:$E$213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411.xml><?xml version="1.0" encoding="utf-8"?>
<revisions xmlns="http://schemas.openxmlformats.org/spreadsheetml/2006/main" xmlns:r="http://schemas.openxmlformats.org/officeDocument/2006/relationships">
  <rcc rId="1089" sId="1" numFmtId="4">
    <oc r="G213">
      <v>942.6</v>
    </oc>
    <nc r="G213">
      <v>942.5</v>
    </nc>
  </rcc>
  <rcv guid="{FE09AB06-1ECE-4486-BCA1-E9D85830708B}" action="delete"/>
  <rdn rId="0" localSheetId="1" customView="1" name="Z_FE09AB06_1ECE_4486_BCA1_E9D85830708B_.wvu.PrintArea" hidden="1" oldHidden="1">
    <formula>Лист1!$A$1:$V$215</formula>
    <oldFormula>Лист1!$A$1:$V$215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Лист1!$E$12:$E$215</formula>
    <oldFormula>Лист1!$E$12:$E$215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511.xml><?xml version="1.0" encoding="utf-8"?>
<revisions xmlns="http://schemas.openxmlformats.org/spreadsheetml/2006/main" xmlns:r="http://schemas.openxmlformats.org/officeDocument/2006/relationships">
  <rcv guid="{CFE875CB-1045-45F7-825E-02100661E885}" action="delete"/>
  <rdn rId="0" localSheetId="1" customView="1" name="Z_CFE875CB_1045_45F7_825E_02100661E885_.wvu.PrintArea" hidden="1" oldHidden="1">
    <formula>Лист1!$A$1:$V$210</formula>
    <oldFormula>Лист1!$A$1:$V$210</oldFormula>
  </rdn>
  <rdn rId="0" localSheetId="1" customView="1" name="Z_CFE875CB_1045_45F7_825E_02100661E885_.wvu.PrintTitles" hidden="1" oldHidden="1">
    <formula>Лист1!$4:$7</formula>
    <oldFormula>Лист1!$4:$7</oldFormula>
  </rdn>
  <rdn rId="0" localSheetId="1" customView="1" name="Z_CFE875CB_1045_45F7_825E_02100661E885_.wvu.FilterData" hidden="1" oldHidden="1">
    <formula>Лист1!$A$7:$V$213</formula>
    <oldFormula>Лист1!$A$7:$V$210</oldFormula>
  </rdn>
  <rdn rId="0" localSheetId="2" customView="1" name="Z_CFE875CB_1045_45F7_825E_02100661E885_.wvu.PrintArea" hidden="1" oldHidden="1">
    <formula>Лист2!$A$1:$O$19</formula>
    <oldFormula>Лист2!$A$1:$O$19</oldFormula>
  </rdn>
  <rdn rId="0" localSheetId="2" customView="1" name="Z_CFE875CB_1045_45F7_825E_02100661E885_.wvu.Cols" hidden="1" oldHidden="1">
    <formula>Лист2!$F:$G</formula>
    <oldFormula>Лист2!$F:$G</oldFormula>
  </rdn>
  <rcv guid="{CFE875CB-1045-45F7-825E-02100661E885}" action="add"/>
</revisions>
</file>

<file path=xl/revisions/revisionLog1611.xml><?xml version="1.0" encoding="utf-8"?>
<revisions xmlns="http://schemas.openxmlformats.org/spreadsheetml/2006/main" xmlns:r="http://schemas.openxmlformats.org/officeDocument/2006/relationships">
  <rcc rId="1111" sId="1" numFmtId="4">
    <oc r="L44">
      <v>45670.5</v>
    </oc>
    <nc r="L44">
      <v>57689.3</v>
    </nc>
  </rcc>
  <rcc rId="1112" sId="1" numFmtId="4">
    <oc r="L45">
      <v>46690.9</v>
    </oc>
    <nc r="L45">
      <v>49079.8</v>
    </nc>
  </rcc>
  <rcc rId="1113" sId="1" numFmtId="4">
    <oc r="L49">
      <v>497978.8</v>
    </oc>
    <nc r="L49">
      <v>583069</v>
    </nc>
  </rcc>
  <rcc rId="1114" sId="1" numFmtId="4">
    <oc r="L58">
      <v>65043.199999999997</v>
    </oc>
    <nc r="L58">
      <v>65656.600000000006</v>
    </nc>
  </rcc>
  <rcc rId="1115" sId="1" numFmtId="4">
    <oc r="L60">
      <v>45768.7</v>
    </oc>
    <nc r="L60">
      <v>49927.9</v>
    </nc>
  </rcc>
  <rcc rId="1116" sId="1" numFmtId="4">
    <oc r="L61">
      <v>19954</v>
    </oc>
    <nc r="L61">
      <v>20039.099999999999</v>
    </nc>
  </rcc>
  <rcc rId="1117" sId="1" numFmtId="4">
    <oc r="L66">
      <v>2234.5</v>
    </oc>
    <nc r="L66">
      <v>2729.7</v>
    </nc>
  </rcc>
  <rcc rId="1118" sId="1" numFmtId="4">
    <oc r="L67">
      <v>88879.8</v>
    </oc>
    <nc r="L67">
      <v>89855.8</v>
    </nc>
  </rcc>
  <rcv guid="{FE09AB06-1ECE-4486-BCA1-E9D85830708B}" action="delete"/>
  <rdn rId="0" localSheetId="1" customView="1" name="Z_FE09AB06_1ECE_4486_BCA1_E9D85830708B_.wvu.PrintArea" hidden="1" oldHidden="1">
    <formula>Лист1!$A$1:$V$215</formula>
    <oldFormula>Лист1!$A$1:$V$215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Лист1!$E$12:$E$215</formula>
    <oldFormula>Лист1!$E$12:$E$215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711.xml><?xml version="1.0" encoding="utf-8"?>
<revisions xmlns="http://schemas.openxmlformats.org/spreadsheetml/2006/main" xmlns:r="http://schemas.openxmlformats.org/officeDocument/2006/relationships"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811.xml><?xml version="1.0" encoding="utf-8"?>
<revisions xmlns="http://schemas.openxmlformats.org/spreadsheetml/2006/main" xmlns:r="http://schemas.openxmlformats.org/officeDocument/2006/relationships">
  <rcc rId="1237" sId="1" numFmtId="4">
    <oc r="K122">
      <v>10244.4</v>
    </oc>
    <nc r="K122">
      <v>10244.299999999999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911.xml><?xml version="1.0" encoding="utf-8"?>
<revisions xmlns="http://schemas.openxmlformats.org/spreadsheetml/2006/main" xmlns:r="http://schemas.openxmlformats.org/officeDocument/2006/relationships">
  <rcc rId="1294" sId="1" numFmtId="4">
    <oc r="L166">
      <v>9914.2000000000007</v>
    </oc>
    <nc r="L166">
      <v>10000</v>
    </nc>
  </rcc>
  <rcc rId="1295" sId="1" numFmtId="4">
    <oc r="L168">
      <v>12753.8</v>
    </oc>
    <nc r="L168">
      <v>13512.5</v>
    </nc>
  </rcc>
  <rcc rId="1296" sId="1" numFmtId="4">
    <oc r="L169">
      <v>6839.2</v>
    </oc>
    <nc r="L169">
      <v>8270.6</v>
    </nc>
  </rcc>
  <rcc rId="1297" sId="1" numFmtId="4">
    <oc r="L171">
      <v>19035.5</v>
    </oc>
    <nc r="L171">
      <v>21114.799999999999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011.xml><?xml version="1.0" encoding="utf-8"?>
<revisions xmlns="http://schemas.openxmlformats.org/spreadsheetml/2006/main" xmlns:r="http://schemas.openxmlformats.org/officeDocument/2006/relationships">
  <rcc rId="1286" sId="1" numFmtId="4">
    <oc r="L150">
      <v>410106</v>
    </oc>
    <nc r="L150">
      <v>509414.5</v>
    </nc>
  </rcc>
  <rcc rId="1287" sId="1" numFmtId="4">
    <oc r="H153">
      <v>1296784.3</v>
    </oc>
    <nc r="H153">
      <v>1102848.3</v>
    </nc>
  </rcc>
  <rcc rId="1288" sId="1" numFmtId="4">
    <oc r="L153">
      <v>944066.4</v>
    </oc>
    <nc r="L153">
      <v>1102848.3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111.xml><?xml version="1.0" encoding="utf-8"?>
<revisions xmlns="http://schemas.openxmlformats.org/spreadsheetml/2006/main" xmlns:r="http://schemas.openxmlformats.org/officeDocument/2006/relationships">
  <rcc rId="872" sId="1">
    <nc r="V87">
      <f>J87/F87</f>
    </nc>
  </rcc>
  <rcc rId="873" sId="1">
    <nc r="V88">
      <f>J88/F88</f>
    </nc>
  </rcc>
  <rcc rId="874" sId="1">
    <nc r="V108">
      <f>J108/F108</f>
    </nc>
  </rcc>
  <rcc rId="875" sId="1">
    <nc r="V166">
      <f>J166/F166</f>
    </nc>
  </rcc>
  <rcc rId="876" sId="1">
    <nc r="V208">
      <f>J208/F208</f>
    </nc>
  </rcc>
  <rcc rId="877" sId="1">
    <oc r="J27">
      <f>K27+L27+M27</f>
    </oc>
    <nc r="J27">
      <f>K27+L27+M27</f>
    </nc>
  </rcc>
  <rcv guid="{FE09AB06-1ECE-4486-BCA1-E9D85830708B}" action="delete"/>
  <rdn rId="0" localSheetId="1" customView="1" name="Z_FE09AB06_1ECE_4486_BCA1_E9D85830708B_.wvu.PrintArea" hidden="1" oldHidden="1">
    <formula>Лист1!$A$1:$V$210</formula>
    <oldFormula>Лист1!$A$1:$V$210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Лист1!$E$12:$E$210</formula>
    <oldFormula>Лист1!$E$12:$E$210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211.xml><?xml version="1.0" encoding="utf-8"?>
<revisions xmlns="http://schemas.openxmlformats.org/spreadsheetml/2006/main" xmlns:r="http://schemas.openxmlformats.org/officeDocument/2006/relationships">
  <rcc rId="1348" sId="1" numFmtId="4">
    <oc r="L112">
      <v>4053.4</v>
    </oc>
    <nc r="L112">
      <v>7511.8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2211.xml><?xml version="1.0" encoding="utf-8"?>
<revisions xmlns="http://schemas.openxmlformats.org/spreadsheetml/2006/main" xmlns:r="http://schemas.openxmlformats.org/officeDocument/2006/relationships">
  <rcc rId="859" sId="1">
    <nc r="J104">
      <f>K104+L104+M104</f>
    </nc>
  </rcc>
  <rcc rId="860" sId="1" numFmtId="4">
    <nc r="K104">
      <v>107.1</v>
    </nc>
  </rcc>
  <rcc rId="861" sId="1" numFmtId="4">
    <oc r="K102">
      <v>107.1</v>
    </oc>
    <nc r="K102">
      <f>K104</f>
    </nc>
  </rcc>
  <rcv guid="{FE09AB06-1ECE-4486-BCA1-E9D85830708B}" action="delete"/>
  <rdn rId="0" localSheetId="1" customView="1" name="Z_FE09AB06_1ECE_4486_BCA1_E9D85830708B_.wvu.PrintArea" hidden="1" oldHidden="1">
    <formula>Лист1!$A$1:$V$210</formula>
    <oldFormula>Лист1!$A$1:$V$210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Лист1!$E$12:$E$210</formula>
    <oldFormula>Лист1!$E$12:$E$210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cc rId="1026" sId="1" numFmtId="4">
    <oc r="O177">
      <v>13000</v>
    </oc>
    <nc r="O177"/>
  </rcc>
  <rcc rId="1027" sId="1" numFmtId="4">
    <oc r="O168">
      <v>0</v>
    </oc>
    <nc r="O168">
      <v>43397.599999999999</v>
    </nc>
  </rcc>
  <rcv guid="{FE09AB06-1ECE-4486-BCA1-E9D85830708B}" action="delete"/>
  <rdn rId="0" localSheetId="1" customView="1" name="Z_FE09AB06_1ECE_4486_BCA1_E9D85830708B_.wvu.PrintArea" hidden="1" oldHidden="1">
    <formula>Лист1!$A$1:$V$213</formula>
    <oldFormula>Лист1!$A$1:$V$213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Лист1!$E$12:$E$213</formula>
    <oldFormula>Лист1!$E$12:$E$213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411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Лист1!$A$1:$V$215</formula>
    <oldFormula>Лист1!$A$1:$V$215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Лист1!$E$12:$E$215</formula>
    <oldFormula>Лист1!$E$12:$E$215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511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Лист1!$A$1:$V$210</formula>
    <oldFormula>Лист1!$A$1:$V$210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Лист1!$E$12:$E$210</formula>
    <oldFormula>Лист1!$E$12:$E$210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6111.xml><?xml version="1.0" encoding="utf-8"?>
<revisions xmlns="http://schemas.openxmlformats.org/spreadsheetml/2006/main" xmlns:r="http://schemas.openxmlformats.org/officeDocument/2006/relationships">
  <rcc rId="1100" sId="1" numFmtId="4">
    <oc r="L21">
      <v>4372</v>
    </oc>
    <nc r="L21">
      <v>4926.3999999999996</v>
    </nc>
  </rcc>
  <rcc rId="1101" sId="1" numFmtId="4">
    <oc r="L22">
      <v>36785</v>
    </oc>
    <nc r="L22">
      <v>68990.7</v>
    </nc>
  </rcc>
  <rcc rId="1102" sId="1" numFmtId="4">
    <oc r="L27">
      <v>2747.4</v>
    </oc>
    <nc r="L27">
      <v>3170.5</v>
    </nc>
  </rcc>
  <rcc rId="1103" sId="1" numFmtId="4">
    <oc r="L33">
      <v>397267.9</v>
    </oc>
    <nc r="L33">
      <v>446537.8</v>
    </nc>
  </rcc>
  <rcc rId="1104" sId="1" numFmtId="4">
    <oc r="L35">
      <v>1000675.8</v>
    </oc>
    <nc r="L35">
      <v>1108263.8</v>
    </nc>
  </rcc>
  <rcc rId="1105" sId="1" numFmtId="4">
    <nc r="H34">
      <v>1237.5</v>
    </nc>
  </rcc>
  <rcv guid="{FE09AB06-1ECE-4486-BCA1-E9D85830708B}" action="delete"/>
  <rdn rId="0" localSheetId="1" customView="1" name="Z_FE09AB06_1ECE_4486_BCA1_E9D85830708B_.wvu.PrintArea" hidden="1" oldHidden="1">
    <formula>Лист1!$A$1:$V$215</formula>
    <oldFormula>Лист1!$A$1:$V$215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Лист1!$E$12:$E$215</formula>
    <oldFormula>Лист1!$E$12:$E$215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7111.xml><?xml version="1.0" encoding="utf-8"?>
<revisions xmlns="http://schemas.openxmlformats.org/spreadsheetml/2006/main" xmlns:r="http://schemas.openxmlformats.org/officeDocument/2006/relationships">
  <rfmt sheetId="1" sqref="G1:G1048576">
    <dxf>
      <fill>
        <patternFill patternType="none">
          <bgColor auto="1"/>
        </patternFill>
      </fill>
    </dxf>
  </rfmt>
  <rfmt sheetId="1" sqref="G142" start="0" length="0">
    <dxf>
      <fill>
        <patternFill patternType="none">
          <bgColor indexed="65"/>
        </patternFill>
      </fill>
    </dxf>
  </rfmt>
  <rfmt sheetId="1" sqref="G103" start="0" length="2686976">
    <dxf>
      <fill>
        <patternFill patternType="none">
          <bgColor indexed="65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O1:O1048576">
    <dxf>
      <fill>
        <patternFill patternType="none">
          <bgColor auto="1"/>
        </patternFill>
      </fill>
    </dxf>
  </rfmt>
  <rfmt sheetId="1" sqref="I1:I1048576">
    <dxf>
      <fill>
        <patternFill>
          <bgColor rgb="FFFFFF00"/>
        </patternFill>
      </fill>
    </dxf>
  </rfmt>
  <rfmt sheetId="1" sqref="I142" start="0" length="0">
    <dxf>
      <fill>
        <patternFill patternType="none">
          <bgColor indexed="65"/>
        </patternFill>
      </fill>
    </dxf>
  </rfmt>
  <rfmt sheetId="1" sqref="M1:M1048576">
    <dxf>
      <fill>
        <patternFill>
          <bgColor rgb="FFFFFF00"/>
        </patternFill>
      </fill>
    </dxf>
  </rfmt>
  <rfmt sheetId="1" sqref="M103" start="0" length="38469632">
    <dxf>
      <fill>
        <patternFill patternType="solid">
          <bgColor theme="0"/>
        </patternFill>
      </fill>
    </dxf>
  </rfmt>
  <rcc rId="1162" sId="1" numFmtId="4">
    <oc r="I20">
      <v>13164.6</v>
    </oc>
    <nc r="I20">
      <v>13104.2</v>
    </nc>
  </rcc>
  <rcc rId="1163" sId="1" numFmtId="4">
    <oc r="M20">
      <v>11299.8</v>
    </oc>
    <nc r="M20">
      <v>12017</v>
    </nc>
  </rcc>
  <rcc rId="1164" sId="1" numFmtId="4">
    <oc r="M22">
      <v>212.1</v>
    </oc>
    <nc r="M22">
      <v>349.4</v>
    </nc>
  </rcc>
  <rcc rId="1165" sId="1" numFmtId="4">
    <oc r="M29">
      <v>56364.5</v>
    </oc>
    <nc r="M29">
      <v>56370.400000000001</v>
    </nc>
  </rcc>
  <rcc rId="1166" sId="1" numFmtId="4">
    <oc r="M72">
      <v>45</v>
    </oc>
    <nc r="M72">
      <v>46.9</v>
    </nc>
  </rcc>
  <rcc rId="1167" sId="1" numFmtId="4">
    <oc r="M77">
      <v>22</v>
    </oc>
    <nc r="M77">
      <v>614.6</v>
    </nc>
  </rcc>
  <rcc rId="1168" sId="1" numFmtId="4">
    <oc r="M79">
      <v>240.5</v>
    </oc>
    <nc r="M79">
      <v>313.3</v>
    </nc>
  </rcc>
  <rcc rId="1169" sId="1" numFmtId="4">
    <oc r="I80">
      <v>275.8</v>
    </oc>
    <nc r="I80">
      <v>5.5</v>
    </nc>
  </rcc>
  <rcc rId="1170" sId="1" numFmtId="4">
    <oc r="M87">
      <v>2.6</v>
    </oc>
    <nc r="M87">
      <v>5.2</v>
    </nc>
  </rcc>
  <rcc rId="1171" sId="1" numFmtId="4">
    <oc r="M168">
      <v>771.6</v>
    </oc>
    <nc r="M168">
      <v>817.5</v>
    </nc>
  </rcc>
  <rcc rId="1172" sId="1" numFmtId="4">
    <nc r="I169">
      <v>1150</v>
    </nc>
  </rcc>
  <rcc rId="1173" sId="1" numFmtId="4">
    <oc r="M171">
      <v>571.9</v>
    </oc>
    <nc r="M171">
      <v>641.79999999999995</v>
    </nc>
  </rcc>
  <rcc rId="1174" sId="1" numFmtId="4">
    <oc r="I120">
      <v>5000</v>
    </oc>
    <nc r="I120">
      <v>3000</v>
    </nc>
  </rcc>
  <rcc rId="1175" sId="1" numFmtId="4">
    <oc r="I122">
      <v>29035</v>
    </oc>
    <nc r="I122">
      <v>27950.5</v>
    </nc>
  </rcc>
  <rcc rId="1176" sId="1" numFmtId="4">
    <oc r="M122">
      <v>11187.7</v>
    </oc>
    <nc r="M122">
      <v>20092.400000000001</v>
    </nc>
  </rcc>
  <rcc rId="1177" sId="1" numFmtId="4">
    <oc r="M132">
      <v>3581.4</v>
    </oc>
    <nc r="M132">
      <v>3625.4</v>
    </nc>
  </rcc>
  <rcc rId="1178" sId="1" numFmtId="4">
    <oc r="M152">
      <v>220288.7</v>
    </oc>
    <nc r="M152">
      <v>223163.6</v>
    </nc>
  </rcc>
  <rcc rId="1179" sId="1" numFmtId="4">
    <oc r="M153">
      <v>91.6</v>
    </oc>
    <nc r="M153">
      <v>121.9</v>
    </nc>
  </rcc>
  <rcc rId="1180" sId="1" numFmtId="4">
    <oc r="M21">
      <v>196.2</v>
    </oc>
    <nc r="M21">
      <v>223.3</v>
    </nc>
  </rcc>
  <rcc rId="1181" sId="1">
    <oc r="I8">
      <f>I9+I37+I68+I108+I117+I133+I146+I163+I184+I202+I210</f>
    </oc>
    <nc r="I8">
      <f>I9+I37+I68+I108+I117+I133+I146+I163+I184+I202+I210</f>
    </nc>
  </rcc>
  <rcc rId="1182" sId="1">
    <oc r="I37">
      <f>I38+I42+I46+I53+I56</f>
    </oc>
    <nc r="I37">
      <f>I38+I42+I46+I53+I56</f>
    </nc>
  </rcc>
  <rcc rId="1183" sId="1">
    <oc r="I108">
      <f>I109+I114</f>
    </oc>
    <nc r="I108">
      <f>I109+I114</f>
    </nc>
  </rcc>
  <rcc rId="1184" sId="1">
    <oc r="I117">
      <f>I118+I123+I128</f>
    </oc>
    <nc r="I117">
      <f>I118+I123+I128</f>
    </nc>
  </rcc>
  <rcc rId="1185" sId="1">
    <oc r="I163">
      <f>I164+I176+I181</f>
    </oc>
    <nc r="I163">
      <f>I164+I176+I181</f>
    </nc>
  </rcc>
  <rcc rId="1186" sId="1">
    <oc r="I69">
      <f>SUM(I71:I84)</f>
    </oc>
    <nc r="I69">
      <f>SUM(I71:I84)</f>
    </nc>
  </rcc>
  <rcc rId="1187" sId="1">
    <oc r="I16">
      <f>SUM(I18:I24)</f>
    </oc>
    <nc r="I16">
      <f>SUM(I18:I24)</f>
    </nc>
  </rcc>
  <rcc rId="1188" sId="1" odxf="1" dxf="1">
    <oc r="I9">
      <f>I10+I16+I25+I31</f>
    </oc>
    <nc r="I9">
      <f>I10+I16+I25+I31</f>
    </nc>
    <odxf>
      <fill>
        <patternFill>
          <bgColor rgb="FFFFFF00"/>
        </patternFill>
      </fill>
    </odxf>
    <ndxf>
      <fill>
        <patternFill>
          <bgColor theme="6" tint="0.59999389629810485"/>
        </patternFill>
      </fill>
    </ndxf>
  </rcc>
  <rcc rId="1189" sId="1" odxf="1" dxf="1">
    <oc r="M9">
      <f>M10+M16+M25+M31</f>
    </oc>
    <nc r="M9">
      <f>M10+M16+M25+M31</f>
    </nc>
    <odxf>
      <fill>
        <patternFill>
          <bgColor rgb="FFFFFF00"/>
        </patternFill>
      </fill>
    </odxf>
    <ndxf>
      <fill>
        <patternFill>
          <bgColor theme="6" tint="0.59999389629810485"/>
        </patternFill>
      </fill>
    </ndxf>
  </rcc>
  <rcc rId="1190" sId="1" odxf="1" dxf="1">
    <oc r="I68">
      <f>I69+I85+I92+I100+I103</f>
    </oc>
    <nc r="I68">
      <f>I69+I85+I92+I100+I103</f>
    </nc>
    <ndxf>
      <fill>
        <patternFill>
          <bgColor theme="6" tint="0.59999389629810485"/>
        </patternFill>
      </fill>
    </ndxf>
  </rcc>
  <rcc rId="1191" sId="1" odxf="1" dxf="1">
    <oc r="M68">
      <f>M69+M85+M92+M100+M103</f>
    </oc>
    <nc r="M68">
      <f>M69+M85+M92+M100+M103</f>
    </nc>
    <odxf>
      <fill>
        <patternFill>
          <bgColor rgb="FFFFFF00"/>
        </patternFill>
      </fill>
    </odxf>
    <ndxf>
      <fill>
        <patternFill>
          <bgColor theme="6" tint="0.59999389629810485"/>
        </patternFill>
      </fill>
    </ndxf>
  </rcc>
  <rcc rId="1192" sId="1" numFmtId="4">
    <oc r="I123">
      <v>94919.1</v>
    </oc>
    <nc r="I123">
      <v>111347</v>
    </nc>
  </rcc>
  <rcc rId="1193" sId="1" numFmtId="4">
    <oc r="M123">
      <v>60485.5</v>
    </oc>
    <nc r="M123">
      <v>72459.899999999994</v>
    </nc>
  </rcc>
  <rfmt sheetId="1" sqref="I13">
    <dxf>
      <fill>
        <patternFill patternType="none">
          <bgColor auto="1"/>
        </patternFill>
      </fill>
    </dxf>
  </rfmt>
  <rfmt sheetId="1" sqref="I1:I1048576">
    <dxf>
      <fill>
        <patternFill patternType="none">
          <bgColor auto="1"/>
        </patternFill>
      </fill>
    </dxf>
  </rfmt>
  <rfmt sheetId="1" sqref="I142" start="0" length="0">
    <dxf>
      <fill>
        <patternFill patternType="none">
          <bgColor indexed="65"/>
        </patternFill>
      </fill>
    </dxf>
  </rfmt>
  <rfmt sheetId="1" sqref="M1:M1048576">
    <dxf>
      <fill>
        <patternFill patternType="none">
          <bgColor auto="1"/>
        </patternFill>
      </fill>
    </dxf>
  </rfmt>
  <rfmt sheetId="1" sqref="M142" start="0" length="1533280256">
    <dxf>
      <fill>
        <patternFill>
          <bgColor rgb="FFFFFF00"/>
        </patternFill>
      </fill>
    </dxf>
  </rfmt>
  <rfmt sheetId="1" sqref="M103" start="0" length="71041024">
    <dxf>
      <fill>
        <patternFill patternType="solid">
          <bgColor theme="0"/>
        </patternFill>
      </fill>
    </dxf>
  </rfmt>
  <rfmt sheetId="1" sqref="F9:T9">
    <dxf>
      <fill>
        <patternFill>
          <bgColor theme="6" tint="0.59999389629810485"/>
        </patternFill>
      </fill>
    </dxf>
  </rfmt>
  <rfmt sheetId="1" sqref="F37:R37">
    <dxf>
      <fill>
        <patternFill>
          <bgColor theme="6" tint="0.59999389629810485"/>
        </patternFill>
      </fill>
    </dxf>
  </rfmt>
  <rfmt sheetId="1" sqref="F68:Q68">
    <dxf>
      <fill>
        <patternFill>
          <bgColor theme="6" tint="0.59999389629810485"/>
        </patternFill>
      </fill>
    </dxf>
  </rfmt>
  <rfmt sheetId="1" sqref="F108:P108">
    <dxf>
      <fill>
        <patternFill>
          <bgColor theme="6" tint="0.59999389629810485"/>
        </patternFill>
      </fill>
    </dxf>
  </rfmt>
  <rfmt sheetId="1" sqref="F117:P117">
    <dxf>
      <fill>
        <patternFill>
          <bgColor theme="6" tint="0.59999389629810485"/>
        </patternFill>
      </fill>
    </dxf>
  </rfmt>
  <rfmt sheetId="1" sqref="F133:P133">
    <dxf>
      <fill>
        <patternFill>
          <bgColor theme="6" tint="0.59999389629810485"/>
        </patternFill>
      </fill>
    </dxf>
  </rfmt>
  <rfmt sheetId="1" sqref="F146:P146">
    <dxf>
      <fill>
        <patternFill>
          <bgColor theme="6" tint="0.59999389629810485"/>
        </patternFill>
      </fill>
    </dxf>
  </rfmt>
  <rfmt sheetId="1" sqref="F163:O163">
    <dxf>
      <fill>
        <patternFill>
          <bgColor theme="6" tint="0.59999389629810485"/>
        </patternFill>
      </fill>
    </dxf>
  </rfmt>
  <rfmt sheetId="1" sqref="F184:Q184">
    <dxf>
      <fill>
        <patternFill>
          <bgColor theme="6" tint="0.59999389629810485"/>
        </patternFill>
      </fill>
    </dxf>
  </rfmt>
  <rfmt sheetId="1" sqref="F202:P202">
    <dxf>
      <fill>
        <patternFill>
          <bgColor theme="6" tint="0.59999389629810485"/>
        </patternFill>
      </fill>
    </dxf>
  </rfmt>
  <rfmt sheetId="1" sqref="F210:P210">
    <dxf>
      <fill>
        <patternFill>
          <bgColor theme="6" tint="0.59999389629810485"/>
        </patternFill>
      </fill>
    </dxf>
  </rfmt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8111.xml><?xml version="1.0" encoding="utf-8"?>
<revisions xmlns="http://schemas.openxmlformats.org/spreadsheetml/2006/main" xmlns:r="http://schemas.openxmlformats.org/officeDocument/2006/relationships">
  <rcc rId="1143" sId="1">
    <oc r="H103">
      <f>H107+H105</f>
    </oc>
    <nc r="H103">
      <f>H107+H105+H106</f>
    </nc>
  </rcc>
  <rcc rId="1144" sId="1">
    <oc r="I103">
      <f>I107+I105</f>
    </oc>
    <nc r="I103">
      <f>I107+I105+I106</f>
    </nc>
  </rcc>
  <rcc rId="1145" sId="1" odxf="1" dxf="1">
    <oc r="G103">
      <f>G107+G105</f>
    </oc>
    <nc r="G103">
      <f>G107+G105+G106</f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1146" sId="1">
    <oc r="K103">
      <f>K107+K105</f>
    </oc>
    <nc r="K103">
      <f>K107+K105+K106</f>
    </nc>
  </rcc>
  <rcc rId="1147" sId="1" odxf="1" dxf="1">
    <oc r="L103">
      <f>L107+L105</f>
    </oc>
    <nc r="L103">
      <f>L107+L105+L106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1148" sId="1" odxf="1" dxf="1">
    <oc r="M103">
      <f>M107+M105</f>
    </oc>
    <nc r="M103">
      <f>M107+M105+M106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1149" sId="1">
    <oc r="O103">
      <f>O107+O105</f>
    </oc>
    <nc r="O103">
      <f>O107+O105+O106</f>
    </nc>
  </rcc>
  <rcc rId="1150" sId="1" odxf="1" dxf="1">
    <oc r="P103">
      <f>P107+P105</f>
    </oc>
    <nc r="P103">
      <f>P107+P105+P106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1151" sId="1" odxf="1" dxf="1">
    <oc r="Q103">
      <f>Q107+Q105</f>
    </oc>
    <nc r="Q103">
      <f>Q107+Q105+Q106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1152" sId="1">
    <oc r="S103">
      <f>S105+S107</f>
    </oc>
    <nc r="S103">
      <f>S105+S107++S106</f>
    </nc>
  </rcc>
  <rcc rId="1153" sId="1">
    <oc r="T103">
      <f>T105+T107</f>
    </oc>
    <nc r="T103">
      <f>T105+T107++T106</f>
    </nc>
  </rcc>
  <rcc rId="1154" sId="1">
    <oc r="U103">
      <f>U105+U107</f>
    </oc>
    <nc r="U103">
      <f>U105+U107++U106</f>
    </nc>
  </rcc>
  <rcc rId="1155" sId="1" numFmtId="4">
    <nc r="L107">
      <v>14505.6</v>
    </nc>
  </rcc>
  <rcc rId="1156" sId="1" numFmtId="4">
    <oc r="L87">
      <v>5064.3</v>
    </oc>
    <nc r="L87">
      <v>5064.3999999999996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9111.xml><?xml version="1.0" encoding="utf-8"?>
<revisions xmlns="http://schemas.openxmlformats.org/spreadsheetml/2006/main" xmlns:r="http://schemas.openxmlformats.org/officeDocument/2006/relationships">
  <rcc rId="1253" sId="1" numFmtId="4">
    <oc r="H122">
      <v>362056.5</v>
    </oc>
    <nc r="H122">
      <v>352111.9</v>
    </nc>
  </rcc>
  <rcc rId="1254" sId="1" numFmtId="4">
    <oc r="H126">
      <v>2258932.1</v>
    </oc>
    <nc r="H126">
      <v>2478014.9</v>
    </nc>
  </rcc>
  <rcc rId="1255" sId="1" numFmtId="4">
    <oc r="H132">
      <v>200644.2</v>
    </oc>
    <nc r="H132">
      <v>179400.9</v>
    </nc>
  </rcc>
  <rcc rId="1256" sId="1" numFmtId="4">
    <oc r="L120">
      <v>71851.899999999994</v>
    </oc>
    <nc r="L120">
      <v>86760.7</v>
    </nc>
  </rcc>
  <rcc rId="1257" sId="1" numFmtId="4">
    <oc r="L121">
      <v>7583.4</v>
    </oc>
    <nc r="L121">
      <v>14190</v>
    </nc>
  </rcc>
  <rcc rId="1258" sId="1" numFmtId="4">
    <oc r="L122">
      <v>199532.6</v>
    </oc>
    <nc r="L122">
      <v>331234.2</v>
    </nc>
  </rcc>
  <rcc rId="1259" sId="1" numFmtId="4">
    <oc r="L126">
      <v>204949.5</v>
    </oc>
    <nc r="L126">
      <v>225574.1</v>
    </nc>
  </rcc>
  <rcc rId="1260" sId="1" numFmtId="4">
    <oc r="L132">
      <v>139299</v>
    </oc>
    <nc r="L132">
      <v>144062.9</v>
    </nc>
  </rcc>
  <rcc rId="1261" sId="1" numFmtId="4">
    <oc r="P126">
      <f>1376608.2-266192.6+517215.21+203188.2</f>
    </oc>
    <nc r="P126">
      <v>2077723.4</v>
    </nc>
  </rcc>
  <rcc rId="1262" sId="1" numFmtId="4">
    <oc r="P132">
      <v>347516.5</v>
    </oc>
    <nc r="P132">
      <v>368759.8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211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31111.xml><?xml version="1.0" encoding="utf-8"?>
<revisions xmlns="http://schemas.openxmlformats.org/spreadsheetml/2006/main" xmlns:r="http://schemas.openxmlformats.org/officeDocument/2006/relationships">
  <rcc rId="991" sId="1">
    <nc r="B143" t="inlineStr">
      <is>
        <t>Разработка проектно-сметной документации по ликвидации несанкционированных свалок в границах городов и наиболее опасных объектов накопленного экологического вреда окружающей среде</t>
      </is>
    </nc>
  </rcc>
  <rfmt sheetId="1" sqref="B143">
    <dxf>
      <alignment wrapText="1" readingOrder="0"/>
    </dxf>
  </rfmt>
  <rcc rId="992" sId="1" numFmtId="4">
    <nc r="G143">
      <v>10412</v>
    </nc>
  </rcc>
  <rcc rId="993" sId="1" numFmtId="4">
    <oc r="G144">
      <v>11749.5</v>
    </oc>
    <nc r="G144">
      <v>1337.5</v>
    </nc>
  </rcc>
  <rcc rId="994" sId="1">
    <nc r="J143">
      <f>K143+L143+M143</f>
    </nc>
  </rcc>
  <rcc rId="995" sId="1">
    <nc r="N143">
      <f>O143+P143+Q143</f>
    </nc>
  </rcc>
  <rcc rId="996" sId="1">
    <nc r="R143">
      <f>S143+T143+U143</f>
    </nc>
  </rcc>
  <rcv guid="{FE09AB06-1ECE-4486-BCA1-E9D85830708B}" action="delete"/>
  <rdn rId="0" localSheetId="1" customView="1" name="Z_FE09AB06_1ECE_4486_BCA1_E9D85830708B_.wvu.PrintArea" hidden="1" oldHidden="1">
    <formula>Лист1!$A$1:$V$213</formula>
    <oldFormula>Лист1!$A$1:$V$213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Лист1!$E$12:$E$213</formula>
    <oldFormula>Лист1!$E$12:$E$213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41111.xml><?xml version="1.0" encoding="utf-8"?>
<revisions xmlns="http://schemas.openxmlformats.org/spreadsheetml/2006/main" xmlns:r="http://schemas.openxmlformats.org/officeDocument/2006/relationships">
  <rcc rId="1055" sId="1" numFmtId="4">
    <nc r="G205">
      <v>15182</v>
    </nc>
  </rcc>
  <rcc rId="1056" sId="1" numFmtId="4">
    <nc r="K205">
      <v>14096.9</v>
    </nc>
  </rcc>
  <rcc rId="1057" sId="1" numFmtId="4">
    <oc r="G204">
      <v>15700</v>
    </oc>
    <nc r="G204"/>
  </rcc>
  <rcc rId="1058" sId="1" numFmtId="4">
    <oc r="K204">
      <v>13295.4</v>
    </oc>
    <nc r="K204"/>
  </rcc>
  <rrc rId="1059" sId="1" ref="A205:XFD205" action="insertRow"/>
  <rrc rId="1060" sId="1" ref="A205:XFD205" action="insertRow"/>
  <rcc rId="1061" sId="1">
    <nc r="F205">
      <f>G205+H205+I205</f>
    </nc>
  </rcc>
  <rcc rId="1062" sId="1">
    <nc r="F206">
      <f>G206+H206+I206</f>
    </nc>
  </rcc>
  <rcc rId="1063" sId="1">
    <nc r="J205">
      <f>K205+L205+M205</f>
    </nc>
  </rcc>
  <rcc rId="1064" sId="1">
    <nc r="J206">
      <f>K206+L206+M206</f>
    </nc>
  </rcc>
  <rcc rId="1065" sId="1">
    <nc r="N205">
      <f>O205+P205+Q205</f>
    </nc>
  </rcc>
  <rcc rId="1066" sId="1">
    <nc r="N206">
      <f>O206+P206+Q206</f>
    </nc>
  </rcc>
  <rcc rId="1067" sId="1">
    <nc r="E205" t="inlineStr">
      <is>
        <t>03WL252892</t>
      </is>
    </nc>
  </rcc>
  <rcc rId="1068" sId="1">
    <nc r="E206" t="inlineStr">
      <is>
        <t>03WL252892</t>
      </is>
    </nc>
  </rcc>
  <rcc rId="1069" sId="1" numFmtId="4">
    <nc r="G205">
      <v>1907.2</v>
    </nc>
  </rcc>
  <rcc rId="1070" sId="1" numFmtId="4">
    <nc r="G206">
      <v>1110.8</v>
    </nc>
  </rcc>
  <rfmt sheetId="1" sqref="K206" start="0" length="0">
    <dxf>
      <font>
        <sz val="8"/>
        <color auto="1"/>
        <name val="Arial Cyr"/>
        <scheme val="none"/>
      </font>
      <numFmt numFmtId="4" formatCode="#,##0.00"/>
      <fill>
        <patternFill patternType="none">
          <bgColor indexed="65"/>
        </patternFill>
      </fill>
      <alignment horizontal="right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</rfmt>
  <rcc rId="1071" sId="1">
    <nc r="B205" t="inlineStr">
      <is>
        <t>Функционирование учебной производственной площадки "Фабрика процессов"</t>
      </is>
    </nc>
  </rcc>
  <rcc rId="1072" sId="1">
    <nc r="B206" t="inlineStr">
      <is>
        <t>Функционирование учебной производственной площадки "Фабрика процессов"</t>
      </is>
    </nc>
  </rcc>
  <rcc rId="1073" sId="1">
    <nc r="C205" t="inlineStr">
      <is>
        <t>804</t>
      </is>
    </nc>
  </rcc>
  <rcc rId="1074" sId="1">
    <nc r="D205" t="inlineStr">
      <is>
        <t>Администрация Томской области</t>
      </is>
    </nc>
  </rcc>
  <rcc rId="1075" sId="1">
    <nc r="C206" t="inlineStr">
      <is>
        <t>816</t>
      </is>
    </nc>
  </rcc>
  <rcc rId="1076" sId="1">
    <nc r="D206" t="inlineStr">
      <is>
        <t>Департамент профессионального образования Томской области</t>
      </is>
    </nc>
  </rcc>
  <rcc rId="1077" sId="1" numFmtId="4">
    <oc r="G208">
      <v>2500</v>
    </oc>
    <nc r="G208"/>
  </rcc>
  <rfmt sheetId="1" sqref="K206" start="0" length="0">
    <dxf>
      <font>
        <sz val="14"/>
        <color auto="1"/>
        <name val="PT Astra Serif"/>
        <scheme val="none"/>
      </font>
      <numFmt numFmtId="164" formatCode="#,##0.0"/>
      <fill>
        <patternFill patternType="solid">
          <bgColor rgb="FFFFFF00"/>
        </patternFill>
      </fill>
      <alignment horizontal="center" wrapText="0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78" sId="1" numFmtId="4">
    <nc r="K206">
      <v>120.7</v>
    </nc>
  </rcc>
  <rcv guid="{FE09AB06-1ECE-4486-BCA1-E9D85830708B}" action="delete"/>
  <rdn rId="0" localSheetId="1" customView="1" name="Z_FE09AB06_1ECE_4486_BCA1_E9D85830708B_.wvu.PrintArea" hidden="1" oldHidden="1">
    <formula>Лист1!$A$1:$V$215</formula>
    <oldFormula>Лист1!$A$1:$V$215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Лист1!$E$12:$E$215</formula>
    <oldFormula>Лист1!$E$12:$E$215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5111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Лист1!$A$1:$V$210</formula>
    <oldFormula>Лист1!$A$1:$V$210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Лист1!$E$12:$E$210</formula>
    <oldFormula>Лист1!$E$12:$E$210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6111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Лист1!$A$1:$V$210</formula>
    <oldFormula>Лист1!$A$1:$V$210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Лист1!$E$12:$E$210</formula>
    <oldFormula>Лист1!$E$12:$E$210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71111.xml><?xml version="1.0" encoding="utf-8"?>
<revisions xmlns="http://schemas.openxmlformats.org/spreadsheetml/2006/main" xmlns:r="http://schemas.openxmlformats.org/officeDocument/2006/relationships">
  <rcc rId="1048" sId="1" numFmtId="4">
    <oc r="K126">
      <v>90493.3</v>
    </oc>
    <nc r="K126">
      <v>91131.199999999997</v>
    </nc>
  </rcc>
  <rcc rId="1049" sId="1" numFmtId="4">
    <oc r="K131">
      <v>3372.4</v>
    </oc>
    <nc r="K131">
      <v>3485.3</v>
    </nc>
  </rcc>
  <rcv guid="{FE09AB06-1ECE-4486-BCA1-E9D85830708B}" action="delete"/>
  <rdn rId="0" localSheetId="1" customView="1" name="Z_FE09AB06_1ECE_4486_BCA1_E9D85830708B_.wvu.PrintArea" hidden="1" oldHidden="1">
    <formula>Лист1!$A$1:$V$213</formula>
    <oldFormula>Лист1!$A$1:$V$213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Лист1!$E$12:$E$213</formula>
    <oldFormula>Лист1!$E$12:$E$213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91111.xml><?xml version="1.0" encoding="utf-8"?>
<revisions xmlns="http://schemas.openxmlformats.org/spreadsheetml/2006/main" xmlns:r="http://schemas.openxmlformats.org/officeDocument/2006/relationships">
  <rcc rId="1222" sId="1" numFmtId="4">
    <oc r="X9">
      <v>558237.5</v>
    </oc>
    <nc r="X9"/>
  </rcc>
  <rcc rId="1223" sId="1">
    <oc r="Y9">
      <f>I8-X9</f>
    </oc>
    <nc r="Y9"/>
  </rcc>
  <rcc rId="1224" sId="1" numFmtId="4">
    <oc r="X10">
      <v>399802.6</v>
    </oc>
    <nc r="X10"/>
  </rcc>
  <rcc rId="1225" sId="1">
    <oc r="Y10">
      <f>X10-M8</f>
    </oc>
    <nc r="Y10"/>
  </rcc>
  <rcc rId="1226" sId="1" numFmtId="4">
    <oc r="X12">
      <v>157729.20000000001</v>
    </oc>
    <nc r="X12"/>
  </rcc>
  <rcc rId="1227" sId="1">
    <oc r="Y12">
      <f>X12-Q8</f>
    </oc>
    <nc r="Y12"/>
  </rcc>
  <rcc rId="1228" sId="1" numFmtId="4">
    <oc r="X13">
      <v>135357.70000000001</v>
    </oc>
    <nc r="X13"/>
  </rcc>
  <rcc rId="1229" sId="1">
    <oc r="Y13">
      <f>X13-U8</f>
    </oc>
    <nc r="Y13"/>
  </rcc>
  <rcc rId="1230" sId="1" numFmtId="4">
    <oc r="G120">
      <v>14000</v>
    </oc>
    <nc r="G120"/>
  </rcc>
  <rcc rId="1231" sId="1" numFmtId="4">
    <oc r="G127">
      <v>442743.3</v>
    </oc>
    <nc r="G127">
      <v>456743.3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411111.xml><?xml version="1.0" encoding="utf-8"?>
<revisions xmlns="http://schemas.openxmlformats.org/spreadsheetml/2006/main" xmlns:r="http://schemas.openxmlformats.org/officeDocument/2006/relationships">
  <rcc rId="1015" sId="1" numFmtId="4">
    <oc r="K167">
      <v>1905.7</v>
    </oc>
    <nc r="K167">
      <v>2019.1</v>
    </nc>
  </rcc>
  <rcc rId="1016" sId="1" numFmtId="4">
    <oc r="G169">
      <v>269.5</v>
    </oc>
    <nc r="G169">
      <v>105.9</v>
    </nc>
  </rcc>
  <rcc rId="1017" sId="1" numFmtId="4">
    <oc r="K170">
      <v>1655.3</v>
    </oc>
    <nc r="K170">
      <v>1836.1</v>
    </nc>
  </rcc>
  <rcc rId="1018" sId="1" numFmtId="4">
    <oc r="K174">
      <v>1981.7</v>
    </oc>
    <nc r="K174">
      <v>2841.8</v>
    </nc>
  </rcc>
  <rcc rId="1019" sId="1" numFmtId="4">
    <oc r="G177">
      <v>13000</v>
    </oc>
    <nc r="G177">
      <v>12999.5</v>
    </nc>
  </rcc>
  <rcc rId="1020" sId="1" numFmtId="4">
    <oc r="K168">
      <v>1022</v>
    </oc>
    <nc r="K168">
      <v>1235.9000000000001</v>
    </nc>
  </rcc>
  <rcv guid="{FE09AB06-1ECE-4486-BCA1-E9D85830708B}" action="delete"/>
  <rdn rId="0" localSheetId="1" customView="1" name="Z_FE09AB06_1ECE_4486_BCA1_E9D85830708B_.wvu.PrintArea" hidden="1" oldHidden="1">
    <formula>Лист1!$A$1:$V$213</formula>
    <oldFormula>Лист1!$A$1:$V$213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Лист1!$E$12:$E$213</formula>
    <oldFormula>Лист1!$E$12:$E$213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4111111.xml><?xml version="1.0" encoding="utf-8"?>
<revisions xmlns="http://schemas.openxmlformats.org/spreadsheetml/2006/main" xmlns:r="http://schemas.openxmlformats.org/officeDocument/2006/relationships">
  <rcc rId="1002" sId="1" numFmtId="4">
    <oc r="G152">
      <v>2879991.3</v>
    </oc>
    <nc r="G152">
      <v>2944065.8</v>
    </nc>
  </rcc>
  <rcc rId="1003" sId="1" numFmtId="4">
    <oc r="K152">
      <v>1556356.3</v>
    </oc>
    <nc r="K152">
      <v>2487494.1</v>
    </nc>
  </rcc>
  <rcc rId="1004" sId="1" numFmtId="4">
    <oc r="G155">
      <v>78980.2</v>
    </oc>
    <nc r="G155">
      <v>66644.600000000006</v>
    </nc>
  </rcc>
  <rcc rId="1005" sId="1" numFmtId="4">
    <oc r="K160">
      <v>298.60000000000002</v>
    </oc>
    <nc r="K160">
      <v>365.8</v>
    </nc>
  </rcc>
  <rcc rId="1006" sId="1" numFmtId="4">
    <oc r="K159">
      <v>2927.6</v>
    </oc>
    <nc r="K159">
      <v>2971.8</v>
    </nc>
  </rcc>
  <rcc rId="1007" sId="1" numFmtId="4">
    <oc r="G161">
      <v>196938.2</v>
    </oc>
    <nc r="G161">
      <v>192115.8</v>
    </nc>
  </rcc>
  <rcc rId="1008" sId="1" numFmtId="4">
    <oc r="K161">
      <v>106394.6</v>
    </oc>
    <nc r="K161">
      <v>107424</v>
    </nc>
  </rcc>
  <rcc rId="1009" sId="1">
    <oc r="G146">
      <f>SUM(G148:G152)</f>
    </oc>
    <nc r="G146">
      <f>SUM(G148:G152)</f>
    </nc>
  </rcc>
  <rcv guid="{FE09AB06-1ECE-4486-BCA1-E9D85830708B}" action="delete"/>
  <rdn rId="0" localSheetId="1" customView="1" name="Z_FE09AB06_1ECE_4486_BCA1_E9D85830708B_.wvu.PrintArea" hidden="1" oldHidden="1">
    <formula>Лист1!$A$1:$V$213</formula>
    <oldFormula>Лист1!$A$1:$V$213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Лист1!$E$12:$E$213</formula>
    <oldFormula>Лист1!$E$12:$E$213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userNames.xml><?xml version="1.0" encoding="utf-8"?>
<users xmlns="http://schemas.openxmlformats.org/spreadsheetml/2006/main" xmlns:r="http://schemas.openxmlformats.org/officeDocument/2006/relationships" count="1">
  <userInfo guid="{EDE061C4-6CBC-4256-8E39-5C3EE14726B8}" name="nma" id="-869786454" dateTime="2022-12-02T09:42:32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54"/>
  <sheetViews>
    <sheetView tabSelected="1" zoomScale="60" zoomScaleNormal="77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J149" sqref="J149"/>
    </sheetView>
  </sheetViews>
  <sheetFormatPr defaultColWidth="8.85546875" defaultRowHeight="15"/>
  <cols>
    <col min="1" max="1" width="6.42578125" style="4" customWidth="1"/>
    <col min="2" max="2" width="59.140625" style="5" customWidth="1"/>
    <col min="3" max="3" width="7.7109375" style="4" customWidth="1"/>
    <col min="4" max="4" width="25.85546875" style="4" customWidth="1"/>
    <col min="5" max="5" width="17.42578125" style="4" customWidth="1"/>
    <col min="6" max="6" width="17.5703125" style="4" customWidth="1"/>
    <col min="7" max="7" width="15.85546875" style="4" customWidth="1"/>
    <col min="8" max="8" width="17" style="4" customWidth="1"/>
    <col min="9" max="9" width="14.140625" style="4" customWidth="1"/>
    <col min="10" max="10" width="15.42578125" style="7" customWidth="1"/>
    <col min="11" max="12" width="15.85546875" style="4" customWidth="1"/>
    <col min="13" max="13" width="13.85546875" style="4" customWidth="1"/>
    <col min="14" max="14" width="16.85546875" style="4" customWidth="1"/>
    <col min="15" max="15" width="15.85546875" style="4" customWidth="1"/>
    <col min="16" max="16" width="16.85546875" style="7" customWidth="1"/>
    <col min="17" max="17" width="14.140625" style="7" customWidth="1"/>
    <col min="18" max="18" width="16.7109375" style="4" customWidth="1"/>
    <col min="19" max="19" width="16.42578125" style="7" customWidth="1"/>
    <col min="20" max="20" width="16.5703125" style="7" customWidth="1"/>
    <col min="21" max="21" width="13.42578125" style="7" customWidth="1"/>
    <col min="22" max="22" width="11.7109375" style="4" customWidth="1"/>
    <col min="23" max="23" width="8.85546875" style="3"/>
    <col min="24" max="24" width="19" style="3" customWidth="1"/>
    <col min="25" max="25" width="18.7109375" style="3" customWidth="1"/>
    <col min="26" max="26" width="23.42578125" style="3" bestFit="1" customWidth="1"/>
    <col min="27" max="27" width="18.28515625" style="3" bestFit="1" customWidth="1"/>
    <col min="28" max="101" width="8.85546875" style="3"/>
    <col min="102" max="16384" width="8.85546875" style="4"/>
  </cols>
  <sheetData>
    <row r="1" spans="1:27" ht="15" customHeight="1">
      <c r="A1" s="114" t="s">
        <v>379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</row>
    <row r="2" spans="1:27" ht="37.5" customHeight="1">
      <c r="A2" s="114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</row>
    <row r="3" spans="1:27">
      <c r="E3" s="6"/>
      <c r="G3" s="106"/>
      <c r="K3" s="106"/>
      <c r="T3" s="1"/>
      <c r="U3" s="1" t="s">
        <v>197</v>
      </c>
    </row>
    <row r="4" spans="1:27" ht="16.5" customHeight="1">
      <c r="A4" s="115" t="s">
        <v>0</v>
      </c>
      <c r="B4" s="118" t="s">
        <v>1</v>
      </c>
      <c r="C4" s="115" t="s">
        <v>2</v>
      </c>
      <c r="D4" s="115" t="s">
        <v>3</v>
      </c>
      <c r="E4" s="115" t="s">
        <v>4</v>
      </c>
      <c r="F4" s="126" t="s">
        <v>195</v>
      </c>
      <c r="G4" s="127"/>
      <c r="H4" s="127"/>
      <c r="I4" s="128"/>
      <c r="J4" s="126" t="s">
        <v>195</v>
      </c>
      <c r="K4" s="127"/>
      <c r="L4" s="127"/>
      <c r="M4" s="128"/>
      <c r="N4" s="126" t="s">
        <v>196</v>
      </c>
      <c r="O4" s="127"/>
      <c r="P4" s="127"/>
      <c r="Q4" s="128"/>
      <c r="R4" s="129" t="s">
        <v>254</v>
      </c>
      <c r="S4" s="129"/>
      <c r="T4" s="129"/>
      <c r="U4" s="129"/>
      <c r="V4" s="131" t="s">
        <v>234</v>
      </c>
    </row>
    <row r="5" spans="1:27" ht="16.5" customHeight="1">
      <c r="A5" s="116"/>
      <c r="B5" s="119"/>
      <c r="C5" s="116"/>
      <c r="D5" s="116"/>
      <c r="E5" s="121"/>
      <c r="F5" s="123" t="s">
        <v>232</v>
      </c>
      <c r="G5" s="124"/>
      <c r="H5" s="124"/>
      <c r="I5" s="125"/>
      <c r="J5" s="123" t="s">
        <v>5</v>
      </c>
      <c r="K5" s="124"/>
      <c r="L5" s="124"/>
      <c r="M5" s="125"/>
      <c r="N5" s="123" t="s">
        <v>232</v>
      </c>
      <c r="O5" s="124"/>
      <c r="P5" s="124"/>
      <c r="Q5" s="125"/>
      <c r="R5" s="130" t="s">
        <v>232</v>
      </c>
      <c r="S5" s="130"/>
      <c r="T5" s="130"/>
      <c r="U5" s="130"/>
      <c r="V5" s="132"/>
    </row>
    <row r="6" spans="1:27" ht="82.5">
      <c r="A6" s="117"/>
      <c r="B6" s="120"/>
      <c r="C6" s="117"/>
      <c r="D6" s="117"/>
      <c r="E6" s="122"/>
      <c r="F6" s="8" t="s">
        <v>6</v>
      </c>
      <c r="G6" s="107" t="s">
        <v>7</v>
      </c>
      <c r="H6" s="103" t="s">
        <v>8</v>
      </c>
      <c r="I6" s="107" t="s">
        <v>233</v>
      </c>
      <c r="J6" s="8" t="s">
        <v>6</v>
      </c>
      <c r="K6" s="107" t="s">
        <v>7</v>
      </c>
      <c r="L6" s="103" t="s">
        <v>8</v>
      </c>
      <c r="M6" s="107" t="s">
        <v>233</v>
      </c>
      <c r="N6" s="8" t="s">
        <v>6</v>
      </c>
      <c r="O6" s="107" t="s">
        <v>7</v>
      </c>
      <c r="P6" s="9" t="s">
        <v>8</v>
      </c>
      <c r="Q6" s="9" t="s">
        <v>231</v>
      </c>
      <c r="R6" s="8" t="s">
        <v>6</v>
      </c>
      <c r="S6" s="9" t="s">
        <v>7</v>
      </c>
      <c r="T6" s="9" t="s">
        <v>8</v>
      </c>
      <c r="U6" s="9" t="s">
        <v>231</v>
      </c>
      <c r="V6" s="133"/>
    </row>
    <row r="7" spans="1:27" ht="16.5">
      <c r="A7" s="10" t="s">
        <v>9</v>
      </c>
      <c r="B7" s="11">
        <v>2</v>
      </c>
      <c r="C7" s="12">
        <v>3</v>
      </c>
      <c r="D7" s="12">
        <v>4</v>
      </c>
      <c r="E7" s="12">
        <v>5</v>
      </c>
      <c r="F7" s="8">
        <v>6</v>
      </c>
      <c r="G7" s="107">
        <v>7</v>
      </c>
      <c r="H7" s="103">
        <v>8</v>
      </c>
      <c r="I7" s="107">
        <v>9</v>
      </c>
      <c r="J7" s="8">
        <v>10</v>
      </c>
      <c r="K7" s="107">
        <v>11</v>
      </c>
      <c r="L7" s="103">
        <v>12</v>
      </c>
      <c r="M7" s="107">
        <v>13</v>
      </c>
      <c r="N7" s="8">
        <v>14</v>
      </c>
      <c r="O7" s="107">
        <v>15</v>
      </c>
      <c r="P7" s="9">
        <v>16</v>
      </c>
      <c r="Q7" s="9">
        <v>17</v>
      </c>
      <c r="R7" s="8">
        <v>18</v>
      </c>
      <c r="S7" s="9">
        <v>19</v>
      </c>
      <c r="T7" s="9">
        <v>20</v>
      </c>
      <c r="U7" s="9">
        <v>21</v>
      </c>
      <c r="V7" s="9">
        <v>22</v>
      </c>
    </row>
    <row r="8" spans="1:27" ht="19.5">
      <c r="A8" s="13"/>
      <c r="B8" s="14" t="s">
        <v>10</v>
      </c>
      <c r="C8" s="12"/>
      <c r="D8" s="12"/>
      <c r="E8" s="12"/>
      <c r="F8" s="15">
        <f>G8+H8+I8</f>
        <v>18435175.699999999</v>
      </c>
      <c r="G8" s="104">
        <f>G9+G37+G68+G108+G117+G133+G146+G163+G184+G202+G210</f>
        <v>5840187.2999999998</v>
      </c>
      <c r="H8" s="104">
        <f>H9+H37+H68+H108+H117+H133+H146+H163+H184+H202+H210</f>
        <v>12036750.9</v>
      </c>
      <c r="I8" s="104">
        <f>I9+I37+I68+I108+I117+I133+I146+I163+I184+I202+I210</f>
        <v>558237.5</v>
      </c>
      <c r="J8" s="15">
        <f>K8+L8+M8</f>
        <v>11372520.800000001</v>
      </c>
      <c r="K8" s="104">
        <f>K9+K37+K68+K108+K117+K133+K146+K163+K184+K202+K210</f>
        <v>4346601.5</v>
      </c>
      <c r="L8" s="104">
        <f>L9+L37+L68+L108+L117+L133+L146+L163+L184+L202+L210</f>
        <v>6626116.7000000002</v>
      </c>
      <c r="M8" s="104">
        <f>M9+M37+M68+M108+M117+M133+M146+M163+M184+M202+M210</f>
        <v>399802.6</v>
      </c>
      <c r="N8" s="15">
        <f>O8+P8+Q8</f>
        <v>15555720.199999999</v>
      </c>
      <c r="O8" s="104">
        <f>O9+O37+O68+O108+O117+O133+O146+O163+O184+O202+O210</f>
        <v>4748467.8</v>
      </c>
      <c r="P8" s="15">
        <f>P9+P37+P68+P108+P117+P133+P146+P163+P184+P202+P210</f>
        <v>10649523.199999999</v>
      </c>
      <c r="Q8" s="15">
        <f>Q9+Q37+Q68+Q108+Q117+Q133+Q146+Q163+Q184+Q202+Q210</f>
        <v>157729.20000000001</v>
      </c>
      <c r="R8" s="15">
        <f>S8+T8+U8</f>
        <v>14691196.1</v>
      </c>
      <c r="S8" s="15">
        <f>S9+S37+S68+S108+S117+S133+S146+S163+S184+S202+S210</f>
        <v>4699081.2</v>
      </c>
      <c r="T8" s="15">
        <f>T9+T37+T68+T108+T117+T133+T146+T163+T184+T202+T210</f>
        <v>9856757.1999999993</v>
      </c>
      <c r="U8" s="15">
        <f>U9+U37+U68+U108+U117+U133+U146+U163+U184+U202+U210</f>
        <v>135357.70000000001</v>
      </c>
      <c r="V8" s="16">
        <f>J8/F8</f>
        <v>0.61699999999999999</v>
      </c>
      <c r="X8" s="17"/>
      <c r="Y8" s="17"/>
      <c r="Z8" s="17"/>
      <c r="AA8" s="17"/>
    </row>
    <row r="9" spans="1:27" ht="18.75">
      <c r="A9" s="18">
        <v>1</v>
      </c>
      <c r="B9" s="19" t="s">
        <v>11</v>
      </c>
      <c r="C9" s="20" t="s">
        <v>12</v>
      </c>
      <c r="D9" s="20" t="s">
        <v>12</v>
      </c>
      <c r="E9" s="20" t="s">
        <v>12</v>
      </c>
      <c r="F9" s="21">
        <f t="shared" ref="F9:F41" si="0">G9+H9+I9</f>
        <v>2467183.1</v>
      </c>
      <c r="G9" s="21">
        <f>G10+G16+G25+G31</f>
        <v>480118</v>
      </c>
      <c r="H9" s="21">
        <f>H10+H16+H25+H31</f>
        <v>1893219.1</v>
      </c>
      <c r="I9" s="21">
        <f>I10+I16+I25+I31</f>
        <v>93846</v>
      </c>
      <c r="J9" s="21">
        <f t="shared" ref="J9:J10" si="1">K9+L9+M9</f>
        <v>2259340.7000000002</v>
      </c>
      <c r="K9" s="21">
        <f>K10+K16+K25+K31</f>
        <v>424698.2</v>
      </c>
      <c r="L9" s="21">
        <f>L10+L16+L25+L31</f>
        <v>1762881</v>
      </c>
      <c r="M9" s="21">
        <f>M10+M16+M25+M31</f>
        <v>71761.5</v>
      </c>
      <c r="N9" s="21">
        <f t="shared" ref="N9:N10" si="2">O9+P9+Q9</f>
        <v>2239111.6</v>
      </c>
      <c r="O9" s="21">
        <f>O10+O16+O25+O31</f>
        <v>212421.8</v>
      </c>
      <c r="P9" s="21">
        <f>P10+P16+P25+P31</f>
        <v>2013499.5</v>
      </c>
      <c r="Q9" s="21">
        <f>Q10+Q16+Q25+Q31</f>
        <v>13190.3</v>
      </c>
      <c r="R9" s="21">
        <f t="shared" ref="R9:R10" si="3">S9+T9+U9</f>
        <v>2324765</v>
      </c>
      <c r="S9" s="21">
        <f>S10+S16+S25+S31</f>
        <v>218134</v>
      </c>
      <c r="T9" s="21">
        <f>T10+T16+T25+T31</f>
        <v>2094560</v>
      </c>
      <c r="U9" s="21">
        <f>U10+U16+U25+U31</f>
        <v>12071</v>
      </c>
      <c r="V9" s="22">
        <f t="shared" ref="V9:V41" si="4">J9/F9</f>
        <v>0.91600000000000004</v>
      </c>
      <c r="X9" s="94"/>
      <c r="Y9" s="17"/>
      <c r="Z9" s="17"/>
    </row>
    <row r="10" spans="1:27" ht="39.75" customHeight="1">
      <c r="A10" s="23" t="s">
        <v>13</v>
      </c>
      <c r="B10" s="47" t="s">
        <v>14</v>
      </c>
      <c r="C10" s="25" t="s">
        <v>12</v>
      </c>
      <c r="D10" s="25" t="s">
        <v>12</v>
      </c>
      <c r="E10" s="25" t="s">
        <v>12</v>
      </c>
      <c r="F10" s="27">
        <f>G10+H10+I10</f>
        <v>189.4</v>
      </c>
      <c r="G10" s="26">
        <f>SUM(G12:G15)</f>
        <v>0</v>
      </c>
      <c r="H10" s="26">
        <f>SUM(H12:H15)</f>
        <v>189.4</v>
      </c>
      <c r="I10" s="26">
        <f>SUM(I12:I15)</f>
        <v>0</v>
      </c>
      <c r="J10" s="27">
        <f t="shared" si="1"/>
        <v>188.8</v>
      </c>
      <c r="K10" s="26">
        <f>SUM(K12:K15)</f>
        <v>0</v>
      </c>
      <c r="L10" s="26">
        <f>SUM(L12:L15)</f>
        <v>188.8</v>
      </c>
      <c r="M10" s="26">
        <f>SUM(M12:M15)</f>
        <v>0</v>
      </c>
      <c r="N10" s="26">
        <f t="shared" si="2"/>
        <v>189.4</v>
      </c>
      <c r="O10" s="26">
        <f>SUM(O12:O15)</f>
        <v>0</v>
      </c>
      <c r="P10" s="27">
        <f>SUM(P12:P15)</f>
        <v>189.4</v>
      </c>
      <c r="Q10" s="27">
        <f>SUM(Q12:Q15)</f>
        <v>0</v>
      </c>
      <c r="R10" s="26">
        <f t="shared" si="3"/>
        <v>210.4</v>
      </c>
      <c r="S10" s="27">
        <f>SUM(S12:S15)</f>
        <v>0</v>
      </c>
      <c r="T10" s="27">
        <f>SUM(T12:T15)</f>
        <v>210.4</v>
      </c>
      <c r="U10" s="27">
        <f>SUM(U12:U15)</f>
        <v>0</v>
      </c>
      <c r="V10" s="28">
        <f t="shared" si="4"/>
        <v>0.997</v>
      </c>
      <c r="X10" s="94"/>
      <c r="Y10" s="94"/>
      <c r="Z10" s="94"/>
      <c r="AA10" s="94"/>
    </row>
    <row r="11" spans="1:27" ht="18.75">
      <c r="A11" s="23"/>
      <c r="B11" s="39" t="s">
        <v>15</v>
      </c>
      <c r="C11" s="31"/>
      <c r="D11" s="31"/>
      <c r="E11" s="31"/>
      <c r="F11" s="27"/>
      <c r="G11" s="78"/>
      <c r="H11" s="78"/>
      <c r="I11" s="78"/>
      <c r="J11" s="27"/>
      <c r="K11" s="78"/>
      <c r="L11" s="78"/>
      <c r="M11" s="78"/>
      <c r="N11" s="26"/>
      <c r="O11" s="78"/>
      <c r="P11" s="32"/>
      <c r="Q11" s="32"/>
      <c r="R11" s="26"/>
      <c r="S11" s="32"/>
      <c r="T11" s="32"/>
      <c r="U11" s="32"/>
      <c r="V11" s="33"/>
      <c r="X11" s="17"/>
      <c r="Y11" s="17"/>
      <c r="Z11" s="17"/>
    </row>
    <row r="12" spans="1:27" ht="64.5" customHeight="1">
      <c r="A12" s="23"/>
      <c r="B12" s="40" t="s">
        <v>213</v>
      </c>
      <c r="C12" s="34">
        <v>821</v>
      </c>
      <c r="D12" s="35" t="s">
        <v>19</v>
      </c>
      <c r="E12" s="34" t="s">
        <v>255</v>
      </c>
      <c r="F12" s="27">
        <f>G12+H12+I12</f>
        <v>0</v>
      </c>
      <c r="G12" s="78">
        <f>66370-66370</f>
        <v>0</v>
      </c>
      <c r="H12" s="78"/>
      <c r="I12" s="78"/>
      <c r="J12" s="27">
        <f>K12+L12+M12</f>
        <v>0</v>
      </c>
      <c r="K12" s="78"/>
      <c r="L12" s="78"/>
      <c r="M12" s="78"/>
      <c r="N12" s="26">
        <f>O12+P12+Q12</f>
        <v>0</v>
      </c>
      <c r="O12" s="78"/>
      <c r="P12" s="32"/>
      <c r="Q12" s="32"/>
      <c r="R12" s="26">
        <f>S12+T12+U12</f>
        <v>0</v>
      </c>
      <c r="S12" s="32"/>
      <c r="T12" s="32"/>
      <c r="U12" s="32"/>
      <c r="V12" s="33" t="e">
        <f t="shared" si="4"/>
        <v>#DIV/0!</v>
      </c>
      <c r="X12" s="17"/>
      <c r="Y12" s="17"/>
      <c r="Z12" s="17"/>
    </row>
    <row r="13" spans="1:27" ht="72" customHeight="1">
      <c r="A13" s="23"/>
      <c r="B13" s="40" t="s">
        <v>236</v>
      </c>
      <c r="C13" s="34">
        <v>821</v>
      </c>
      <c r="D13" s="35" t="s">
        <v>19</v>
      </c>
      <c r="E13" s="34" t="s">
        <v>336</v>
      </c>
      <c r="F13" s="27">
        <f t="shared" ref="F13:F15" si="5">G13+H13+I13</f>
        <v>0</v>
      </c>
      <c r="G13" s="78">
        <f>5255-5255</f>
        <v>0</v>
      </c>
      <c r="H13" s="78"/>
      <c r="I13" s="78"/>
      <c r="J13" s="27">
        <f t="shared" ref="J13:J15" si="6">K13+L13+M13</f>
        <v>0</v>
      </c>
      <c r="K13" s="78"/>
      <c r="L13" s="78"/>
      <c r="M13" s="78"/>
      <c r="N13" s="26">
        <f t="shared" ref="N13:N15" si="7">O13+P13+Q13</f>
        <v>0</v>
      </c>
      <c r="O13" s="78"/>
      <c r="P13" s="32"/>
      <c r="Q13" s="32"/>
      <c r="R13" s="26">
        <f t="shared" ref="R13:R15" si="8">S13+T13+U13</f>
        <v>0</v>
      </c>
      <c r="S13" s="32"/>
      <c r="T13" s="32"/>
      <c r="U13" s="32"/>
      <c r="V13" s="33" t="e">
        <f t="shared" si="4"/>
        <v>#DIV/0!</v>
      </c>
      <c r="X13" s="17"/>
      <c r="Y13" s="17"/>
    </row>
    <row r="14" spans="1:27" ht="70.5" customHeight="1">
      <c r="A14" s="23"/>
      <c r="B14" s="40" t="s">
        <v>256</v>
      </c>
      <c r="C14" s="34">
        <v>821</v>
      </c>
      <c r="D14" s="35" t="s">
        <v>19</v>
      </c>
      <c r="E14" s="34" t="s">
        <v>154</v>
      </c>
      <c r="F14" s="27">
        <f t="shared" si="5"/>
        <v>0</v>
      </c>
      <c r="G14" s="78">
        <f>375.2-375.2</f>
        <v>0</v>
      </c>
      <c r="H14" s="78"/>
      <c r="I14" s="78"/>
      <c r="J14" s="27">
        <f t="shared" si="6"/>
        <v>0</v>
      </c>
      <c r="K14" s="78"/>
      <c r="L14" s="78"/>
      <c r="M14" s="78"/>
      <c r="N14" s="26">
        <f t="shared" si="7"/>
        <v>0</v>
      </c>
      <c r="O14" s="78"/>
      <c r="P14" s="32"/>
      <c r="Q14" s="32"/>
      <c r="R14" s="26">
        <f t="shared" si="8"/>
        <v>0</v>
      </c>
      <c r="S14" s="32"/>
      <c r="T14" s="32"/>
      <c r="U14" s="32"/>
      <c r="V14" s="33" t="e">
        <f t="shared" ref="V14" si="9">J14/F14</f>
        <v>#DIV/0!</v>
      </c>
      <c r="X14" s="17"/>
      <c r="Y14" s="17"/>
    </row>
    <row r="15" spans="1:27" ht="74.25" customHeight="1">
      <c r="A15" s="23"/>
      <c r="B15" s="40" t="s">
        <v>18</v>
      </c>
      <c r="C15" s="34" t="s">
        <v>257</v>
      </c>
      <c r="D15" s="35" t="s">
        <v>17</v>
      </c>
      <c r="E15" s="34" t="s">
        <v>182</v>
      </c>
      <c r="F15" s="27">
        <f t="shared" si="5"/>
        <v>189.4</v>
      </c>
      <c r="G15" s="78"/>
      <c r="H15" s="78">
        <v>189.4</v>
      </c>
      <c r="I15" s="104"/>
      <c r="J15" s="27">
        <f t="shared" si="6"/>
        <v>188.8</v>
      </c>
      <c r="K15" s="78"/>
      <c r="L15" s="78">
        <v>188.8</v>
      </c>
      <c r="M15" s="78"/>
      <c r="N15" s="26">
        <f t="shared" si="7"/>
        <v>189.4</v>
      </c>
      <c r="O15" s="78"/>
      <c r="P15" s="32">
        <v>189.4</v>
      </c>
      <c r="Q15" s="32"/>
      <c r="R15" s="26">
        <f t="shared" si="8"/>
        <v>210.4</v>
      </c>
      <c r="S15" s="32"/>
      <c r="T15" s="32">
        <v>210.4</v>
      </c>
      <c r="U15" s="32"/>
      <c r="V15" s="33">
        <f t="shared" si="4"/>
        <v>0.997</v>
      </c>
      <c r="X15" s="17"/>
    </row>
    <row r="16" spans="1:27" ht="38.25" customHeight="1">
      <c r="A16" s="10" t="s">
        <v>21</v>
      </c>
      <c r="B16" s="47" t="s">
        <v>22</v>
      </c>
      <c r="C16" s="25" t="s">
        <v>12</v>
      </c>
      <c r="D16" s="25" t="s">
        <v>12</v>
      </c>
      <c r="E16" s="25" t="s">
        <v>12</v>
      </c>
      <c r="F16" s="27">
        <f t="shared" si="0"/>
        <v>234556.3</v>
      </c>
      <c r="G16" s="26">
        <f>SUM(G18:G24)</f>
        <v>116085.8</v>
      </c>
      <c r="H16" s="26">
        <f>SUM(H18:H24)</f>
        <v>102014.39999999999</v>
      </c>
      <c r="I16" s="26">
        <f>SUM(I18:I24)</f>
        <v>16456.099999999999</v>
      </c>
      <c r="J16" s="27">
        <f t="shared" ref="J16" si="10">K16+L16+M16</f>
        <v>222450.2</v>
      </c>
      <c r="K16" s="26">
        <f>SUM(K18:K24)</f>
        <v>109333.3</v>
      </c>
      <c r="L16" s="26">
        <f>SUM(L18:L24)</f>
        <v>97836.1</v>
      </c>
      <c r="M16" s="26">
        <f>SUM(M18:M24)</f>
        <v>15280.8</v>
      </c>
      <c r="N16" s="26">
        <f t="shared" ref="N16" si="11">O16+P16+Q16</f>
        <v>147253</v>
      </c>
      <c r="O16" s="26">
        <f>SUM(O18:O24)</f>
        <v>104919.6</v>
      </c>
      <c r="P16" s="27">
        <f>SUM(P18:P24)</f>
        <v>29143.1</v>
      </c>
      <c r="Q16" s="27">
        <f>SUM(Q18:Q24)</f>
        <v>13190.3</v>
      </c>
      <c r="R16" s="26">
        <f t="shared" ref="R16" si="12">S16+T16+U16</f>
        <v>140774.79999999999</v>
      </c>
      <c r="S16" s="27">
        <f>SUM(S18:S24)</f>
        <v>104733.9</v>
      </c>
      <c r="T16" s="27">
        <f>SUM(T18:T24)</f>
        <v>23969.9</v>
      </c>
      <c r="U16" s="27">
        <f>SUM(U18:U24)</f>
        <v>12071</v>
      </c>
      <c r="V16" s="37">
        <f t="shared" si="4"/>
        <v>0.94799999999999995</v>
      </c>
    </row>
    <row r="17" spans="1:22" ht="18.75">
      <c r="A17" s="38"/>
      <c r="B17" s="39" t="s">
        <v>15</v>
      </c>
      <c r="C17" s="31"/>
      <c r="D17" s="31"/>
      <c r="E17" s="31"/>
      <c r="F17" s="27"/>
      <c r="G17" s="26"/>
      <c r="H17" s="26"/>
      <c r="I17" s="26"/>
      <c r="J17" s="27"/>
      <c r="K17" s="26"/>
      <c r="L17" s="26"/>
      <c r="M17" s="26"/>
      <c r="N17" s="27"/>
      <c r="O17" s="26"/>
      <c r="P17" s="27"/>
      <c r="Q17" s="27"/>
      <c r="R17" s="27"/>
      <c r="S17" s="27"/>
      <c r="T17" s="27"/>
      <c r="U17" s="27"/>
      <c r="V17" s="37"/>
    </row>
    <row r="18" spans="1:22" ht="119.25" customHeight="1">
      <c r="A18" s="38"/>
      <c r="B18" s="87" t="s">
        <v>25</v>
      </c>
      <c r="C18" s="34">
        <v>813</v>
      </c>
      <c r="D18" s="35" t="s">
        <v>24</v>
      </c>
      <c r="E18" s="34" t="s">
        <v>169</v>
      </c>
      <c r="F18" s="27">
        <f>G18+H18+I18</f>
        <v>10710.5</v>
      </c>
      <c r="G18" s="78">
        <v>9000</v>
      </c>
      <c r="H18" s="78"/>
      <c r="I18" s="78">
        <v>1710.5</v>
      </c>
      <c r="J18" s="26">
        <f t="shared" ref="J18:J25" si="13">K18+L18+M18</f>
        <v>10710.5</v>
      </c>
      <c r="K18" s="78">
        <f>1500+3600+1200+2700</f>
        <v>9000</v>
      </c>
      <c r="L18" s="78"/>
      <c r="M18" s="78">
        <v>1710.5</v>
      </c>
      <c r="N18" s="26">
        <f t="shared" ref="N18:N25" si="14">O18+P18+Q18</f>
        <v>9689</v>
      </c>
      <c r="O18" s="78">
        <v>9000</v>
      </c>
      <c r="P18" s="32"/>
      <c r="Q18" s="32">
        <v>689</v>
      </c>
      <c r="R18" s="26">
        <f t="shared" ref="R18:R25" si="15">S18+T18+U18</f>
        <v>9629</v>
      </c>
      <c r="S18" s="32">
        <v>9000</v>
      </c>
      <c r="T18" s="32"/>
      <c r="U18" s="92">
        <v>629</v>
      </c>
      <c r="V18" s="33">
        <f t="shared" si="4"/>
        <v>1</v>
      </c>
    </row>
    <row r="19" spans="1:22" ht="78.75" customHeight="1">
      <c r="A19" s="38"/>
      <c r="B19" s="40" t="s">
        <v>167</v>
      </c>
      <c r="C19" s="34">
        <v>813</v>
      </c>
      <c r="D19" s="35" t="s">
        <v>24</v>
      </c>
      <c r="E19" s="34" t="s">
        <v>166</v>
      </c>
      <c r="F19" s="27">
        <f t="shared" si="0"/>
        <v>13078.7</v>
      </c>
      <c r="G19" s="78">
        <f>30000-17583.3</f>
        <v>12416.7</v>
      </c>
      <c r="H19" s="78"/>
      <c r="I19" s="109">
        <v>662</v>
      </c>
      <c r="J19" s="26">
        <f t="shared" si="13"/>
        <v>13078.7</v>
      </c>
      <c r="K19" s="78">
        <f>2113.4+6146.6+4156.7</f>
        <v>12416.7</v>
      </c>
      <c r="L19" s="78"/>
      <c r="M19" s="78">
        <v>662</v>
      </c>
      <c r="N19" s="26">
        <f t="shared" si="14"/>
        <v>10621.6</v>
      </c>
      <c r="O19" s="78">
        <v>10000</v>
      </c>
      <c r="P19" s="32"/>
      <c r="Q19" s="32">
        <v>621.6</v>
      </c>
      <c r="R19" s="26">
        <f t="shared" si="15"/>
        <v>10620.7</v>
      </c>
      <c r="S19" s="32">
        <v>10000</v>
      </c>
      <c r="T19" s="32"/>
      <c r="U19" s="32">
        <v>620.70000000000005</v>
      </c>
      <c r="V19" s="33">
        <f t="shared" si="4"/>
        <v>1</v>
      </c>
    </row>
    <row r="20" spans="1:22" ht="81.75" customHeight="1">
      <c r="A20" s="38"/>
      <c r="B20" s="40" t="s">
        <v>26</v>
      </c>
      <c r="C20" s="34">
        <v>813</v>
      </c>
      <c r="D20" s="35" t="s">
        <v>24</v>
      </c>
      <c r="E20" s="34" t="s">
        <v>168</v>
      </c>
      <c r="F20" s="27">
        <f t="shared" si="0"/>
        <v>99457.4</v>
      </c>
      <c r="G20" s="78">
        <v>86353.2</v>
      </c>
      <c r="H20" s="78"/>
      <c r="I20" s="78">
        <v>13104.2</v>
      </c>
      <c r="J20" s="26">
        <f t="shared" si="13"/>
        <v>91900.6</v>
      </c>
      <c r="K20" s="78">
        <v>79883.600000000006</v>
      </c>
      <c r="L20" s="78"/>
      <c r="M20" s="111">
        <v>12017</v>
      </c>
      <c r="N20" s="26">
        <f t="shared" si="14"/>
        <v>93812.800000000003</v>
      </c>
      <c r="O20" s="78">
        <v>82177.2</v>
      </c>
      <c r="P20" s="32"/>
      <c r="Q20" s="32">
        <v>11635.6</v>
      </c>
      <c r="R20" s="26">
        <f t="shared" si="15"/>
        <v>92737.2</v>
      </c>
      <c r="S20" s="32">
        <v>82177.2</v>
      </c>
      <c r="T20" s="32"/>
      <c r="U20" s="32">
        <v>10560</v>
      </c>
      <c r="V20" s="33">
        <f t="shared" si="4"/>
        <v>0.92400000000000004</v>
      </c>
    </row>
    <row r="21" spans="1:22" ht="89.25" customHeight="1">
      <c r="A21" s="38"/>
      <c r="B21" s="40" t="s">
        <v>125</v>
      </c>
      <c r="C21" s="34">
        <v>813</v>
      </c>
      <c r="D21" s="35" t="s">
        <v>24</v>
      </c>
      <c r="E21" s="34" t="s">
        <v>126</v>
      </c>
      <c r="F21" s="27">
        <f t="shared" si="0"/>
        <v>8371.2999999999993</v>
      </c>
      <c r="G21" s="78">
        <v>3000</v>
      </c>
      <c r="H21" s="78">
        <v>5137.7</v>
      </c>
      <c r="I21" s="78">
        <v>233.6</v>
      </c>
      <c r="J21" s="26">
        <f t="shared" si="13"/>
        <v>8026.3</v>
      </c>
      <c r="K21" s="78">
        <v>2876.6</v>
      </c>
      <c r="L21" s="78">
        <v>4926.3999999999996</v>
      </c>
      <c r="M21" s="78">
        <v>223.3</v>
      </c>
      <c r="N21" s="26">
        <f t="shared" si="14"/>
        <v>8381.7999999999993</v>
      </c>
      <c r="O21" s="78">
        <v>3000</v>
      </c>
      <c r="P21" s="32">
        <v>5137.7</v>
      </c>
      <c r="Q21" s="32">
        <v>244.1</v>
      </c>
      <c r="R21" s="26">
        <f t="shared" si="15"/>
        <v>9231.2000000000007</v>
      </c>
      <c r="S21" s="32">
        <v>3000</v>
      </c>
      <c r="T21" s="32">
        <v>5969.9</v>
      </c>
      <c r="U21" s="32">
        <v>261.3</v>
      </c>
      <c r="V21" s="33">
        <f t="shared" si="4"/>
        <v>0.95899999999999996</v>
      </c>
    </row>
    <row r="22" spans="1:22" ht="75.75" customHeight="1">
      <c r="A22" s="38"/>
      <c r="B22" s="40" t="s">
        <v>127</v>
      </c>
      <c r="C22" s="34" t="s">
        <v>258</v>
      </c>
      <c r="D22" s="35" t="s">
        <v>19</v>
      </c>
      <c r="E22" s="34" t="s">
        <v>128</v>
      </c>
      <c r="F22" s="27">
        <f t="shared" si="0"/>
        <v>75536</v>
      </c>
      <c r="G22" s="78">
        <v>2253.5</v>
      </c>
      <c r="H22" s="78">
        <v>72862.399999999994</v>
      </c>
      <c r="I22" s="78">
        <v>420.1</v>
      </c>
      <c r="J22" s="26">
        <f t="shared" si="13"/>
        <v>71473.8</v>
      </c>
      <c r="K22" s="78">
        <v>2133.6999999999998</v>
      </c>
      <c r="L22" s="78">
        <v>68990.7</v>
      </c>
      <c r="M22" s="78">
        <v>349.4</v>
      </c>
      <c r="N22" s="26">
        <f t="shared" si="14"/>
        <v>0</v>
      </c>
      <c r="O22" s="78">
        <v>0</v>
      </c>
      <c r="P22" s="32"/>
      <c r="Q22" s="32"/>
      <c r="R22" s="26">
        <f t="shared" si="15"/>
        <v>0</v>
      </c>
      <c r="S22" s="32">
        <v>0</v>
      </c>
      <c r="T22" s="32"/>
      <c r="U22" s="86"/>
      <c r="V22" s="33">
        <f t="shared" si="4"/>
        <v>0.94599999999999995</v>
      </c>
    </row>
    <row r="23" spans="1:22" ht="84" customHeight="1">
      <c r="A23" s="38"/>
      <c r="B23" s="40" t="s">
        <v>23</v>
      </c>
      <c r="C23" s="34">
        <v>813</v>
      </c>
      <c r="D23" s="35" t="s">
        <v>24</v>
      </c>
      <c r="E23" s="34" t="s">
        <v>129</v>
      </c>
      <c r="F23" s="27">
        <f t="shared" si="0"/>
        <v>8845.7000000000007</v>
      </c>
      <c r="G23" s="78">
        <v>2505.6999999999998</v>
      </c>
      <c r="H23" s="78">
        <v>6014.3</v>
      </c>
      <c r="I23" s="78">
        <v>325.7</v>
      </c>
      <c r="J23" s="26">
        <f t="shared" si="13"/>
        <v>8703.6</v>
      </c>
      <c r="K23" s="78">
        <v>2466</v>
      </c>
      <c r="L23" s="78">
        <v>5919</v>
      </c>
      <c r="M23" s="78">
        <v>318.60000000000002</v>
      </c>
      <c r="N23" s="26">
        <f t="shared" si="14"/>
        <v>6191.1</v>
      </c>
      <c r="O23" s="78">
        <v>185.7</v>
      </c>
      <c r="P23" s="32">
        <v>6005.4</v>
      </c>
      <c r="Q23" s="32"/>
      <c r="R23" s="26">
        <f t="shared" si="15"/>
        <v>0</v>
      </c>
      <c r="S23" s="32">
        <v>0</v>
      </c>
      <c r="T23" s="32"/>
      <c r="U23" s="32"/>
      <c r="V23" s="33">
        <f t="shared" si="4"/>
        <v>0.98399999999999999</v>
      </c>
    </row>
    <row r="24" spans="1:22" ht="84.75" customHeight="1">
      <c r="A24" s="38"/>
      <c r="B24" s="40" t="s">
        <v>130</v>
      </c>
      <c r="C24" s="34">
        <v>813</v>
      </c>
      <c r="D24" s="35" t="s">
        <v>24</v>
      </c>
      <c r="E24" s="34" t="s">
        <v>131</v>
      </c>
      <c r="F24" s="27">
        <f t="shared" si="0"/>
        <v>18556.7</v>
      </c>
      <c r="G24" s="78">
        <v>556.70000000000005</v>
      </c>
      <c r="H24" s="78">
        <v>18000</v>
      </c>
      <c r="I24" s="78"/>
      <c r="J24" s="26">
        <f t="shared" si="13"/>
        <v>18556.7</v>
      </c>
      <c r="K24" s="78">
        <v>556.70000000000005</v>
      </c>
      <c r="L24" s="78">
        <v>18000</v>
      </c>
      <c r="M24" s="78"/>
      <c r="N24" s="26">
        <f t="shared" si="14"/>
        <v>18556.7</v>
      </c>
      <c r="O24" s="78">
        <v>556.70000000000005</v>
      </c>
      <c r="P24" s="32">
        <v>18000</v>
      </c>
      <c r="Q24" s="32"/>
      <c r="R24" s="26">
        <f t="shared" si="15"/>
        <v>18556.7</v>
      </c>
      <c r="S24" s="32">
        <v>556.70000000000005</v>
      </c>
      <c r="T24" s="32">
        <v>18000</v>
      </c>
      <c r="U24" s="32"/>
      <c r="V24" s="33">
        <f t="shared" si="4"/>
        <v>1</v>
      </c>
    </row>
    <row r="25" spans="1:22" ht="42" customHeight="1">
      <c r="A25" s="10" t="s">
        <v>27</v>
      </c>
      <c r="B25" s="47" t="s">
        <v>229</v>
      </c>
      <c r="C25" s="25" t="s">
        <v>12</v>
      </c>
      <c r="D25" s="25" t="s">
        <v>12</v>
      </c>
      <c r="E25" s="25" t="s">
        <v>12</v>
      </c>
      <c r="F25" s="27">
        <f t="shared" si="0"/>
        <v>357099.5</v>
      </c>
      <c r="G25" s="26">
        <f>SUM(G27:G30)</f>
        <v>158511.79999999999</v>
      </c>
      <c r="H25" s="26">
        <f>SUM(H27:H30)</f>
        <v>121197.8</v>
      </c>
      <c r="I25" s="26">
        <f>SUM(I27:I30)</f>
        <v>77389.899999999994</v>
      </c>
      <c r="J25" s="27">
        <f t="shared" si="13"/>
        <v>300475.59999999998</v>
      </c>
      <c r="K25" s="26">
        <f>SUM(K27:K30)</f>
        <v>133940.4</v>
      </c>
      <c r="L25" s="26">
        <f>SUM(L27:L30)</f>
        <v>110054.5</v>
      </c>
      <c r="M25" s="26">
        <f>SUM(M27:M30)</f>
        <v>56480.7</v>
      </c>
      <c r="N25" s="26">
        <f t="shared" si="14"/>
        <v>9202.1</v>
      </c>
      <c r="O25" s="26">
        <f>SUM(O27:O30)</f>
        <v>276.2</v>
      </c>
      <c r="P25" s="27">
        <f>SUM(P27:P30)</f>
        <v>8925.9</v>
      </c>
      <c r="Q25" s="27">
        <f>SUM(Q27:Q30)</f>
        <v>0</v>
      </c>
      <c r="R25" s="26">
        <f t="shared" si="15"/>
        <v>5500.1</v>
      </c>
      <c r="S25" s="27">
        <f>SUM(S27:S30)</f>
        <v>165.1</v>
      </c>
      <c r="T25" s="27">
        <f>SUM(T27:T30)</f>
        <v>5335</v>
      </c>
      <c r="U25" s="27">
        <f>SUM(U27:U30)</f>
        <v>0</v>
      </c>
      <c r="V25" s="28">
        <f t="shared" si="4"/>
        <v>0.84099999999999997</v>
      </c>
    </row>
    <row r="26" spans="1:22" ht="18.75">
      <c r="A26" s="23"/>
      <c r="B26" s="39" t="s">
        <v>15</v>
      </c>
      <c r="C26" s="31"/>
      <c r="D26" s="31"/>
      <c r="E26" s="31"/>
      <c r="F26" s="27"/>
      <c r="G26" s="26"/>
      <c r="H26" s="26"/>
      <c r="I26" s="26"/>
      <c r="J26" s="27"/>
      <c r="K26" s="26"/>
      <c r="L26" s="26"/>
      <c r="M26" s="26"/>
      <c r="N26" s="26"/>
      <c r="O26" s="26"/>
      <c r="P26" s="27"/>
      <c r="Q26" s="27"/>
      <c r="R26" s="26"/>
      <c r="S26" s="27"/>
      <c r="T26" s="27"/>
      <c r="U26" s="27"/>
      <c r="V26" s="28"/>
    </row>
    <row r="27" spans="1:22" ht="46.5" customHeight="1">
      <c r="A27" s="95"/>
      <c r="B27" s="96" t="s">
        <v>112</v>
      </c>
      <c r="C27" s="97" t="s">
        <v>259</v>
      </c>
      <c r="D27" s="98" t="s">
        <v>16</v>
      </c>
      <c r="E27" s="34" t="s">
        <v>204</v>
      </c>
      <c r="F27" s="27">
        <f t="shared" si="0"/>
        <v>10000</v>
      </c>
      <c r="G27" s="78">
        <v>300</v>
      </c>
      <c r="H27" s="78">
        <v>9700</v>
      </c>
      <c r="I27" s="105"/>
      <c r="J27" s="27">
        <f>K27+L27+M27</f>
        <v>3268.6</v>
      </c>
      <c r="K27" s="78">
        <v>98.1</v>
      </c>
      <c r="L27" s="78">
        <v>3170.5</v>
      </c>
      <c r="M27" s="78"/>
      <c r="N27" s="26">
        <f t="shared" ref="N27:N31" si="16">O27+P27+Q27</f>
        <v>5500.1</v>
      </c>
      <c r="O27" s="78">
        <v>165.1</v>
      </c>
      <c r="P27" s="32">
        <v>5335</v>
      </c>
      <c r="Q27" s="32"/>
      <c r="R27" s="26">
        <f t="shared" ref="R27:R31" si="17">S27+T27+U27</f>
        <v>5500.1</v>
      </c>
      <c r="S27" s="32">
        <v>165.1</v>
      </c>
      <c r="T27" s="32">
        <v>5335</v>
      </c>
      <c r="U27" s="32"/>
      <c r="V27" s="33">
        <f t="shared" si="4"/>
        <v>0.32700000000000001</v>
      </c>
    </row>
    <row r="28" spans="1:22" ht="87" customHeight="1">
      <c r="A28" s="23"/>
      <c r="B28" s="99" t="s">
        <v>354</v>
      </c>
      <c r="C28" s="34" t="s">
        <v>258</v>
      </c>
      <c r="D28" s="35" t="s">
        <v>19</v>
      </c>
      <c r="E28" s="34" t="s">
        <v>352</v>
      </c>
      <c r="F28" s="27">
        <f t="shared" ref="F28:F29" si="18">G28+H28+I28</f>
        <v>115061.3</v>
      </c>
      <c r="G28" s="78">
        <v>3448.4</v>
      </c>
      <c r="H28" s="78">
        <v>111497.8</v>
      </c>
      <c r="I28" s="105">
        <v>115.1</v>
      </c>
      <c r="J28" s="27">
        <f t="shared" ref="J28:J29" si="19">K28+L28+M28</f>
        <v>110300</v>
      </c>
      <c r="K28" s="78">
        <v>3305.7</v>
      </c>
      <c r="L28" s="78">
        <v>106884</v>
      </c>
      <c r="M28" s="78">
        <v>110.3</v>
      </c>
      <c r="N28" s="26">
        <f t="shared" ref="N28:N29" si="20">O28+P28+Q28</f>
        <v>0</v>
      </c>
      <c r="O28" s="78"/>
      <c r="P28" s="32"/>
      <c r="Q28" s="32"/>
      <c r="R28" s="26">
        <f t="shared" ref="R28:R29" si="21">S28+T28+U28</f>
        <v>0</v>
      </c>
      <c r="S28" s="32"/>
      <c r="T28" s="32"/>
      <c r="U28" s="32"/>
      <c r="V28" s="33">
        <f t="shared" ref="V28:V29" si="22">J28/F28</f>
        <v>0.95899999999999996</v>
      </c>
    </row>
    <row r="29" spans="1:22" ht="90" customHeight="1">
      <c r="A29" s="23"/>
      <c r="B29" s="99" t="s">
        <v>354</v>
      </c>
      <c r="C29" s="34" t="s">
        <v>258</v>
      </c>
      <c r="D29" s="35" t="s">
        <v>19</v>
      </c>
      <c r="E29" s="34" t="s">
        <v>353</v>
      </c>
      <c r="F29" s="27">
        <f t="shared" si="18"/>
        <v>232038.2</v>
      </c>
      <c r="G29" s="78">
        <v>154763.4</v>
      </c>
      <c r="H29" s="78"/>
      <c r="I29" s="105">
        <v>77274.8</v>
      </c>
      <c r="J29" s="27">
        <f t="shared" si="19"/>
        <v>186907</v>
      </c>
      <c r="K29" s="78">
        <v>130536.6</v>
      </c>
      <c r="L29" s="78"/>
      <c r="M29" s="78">
        <v>56370.400000000001</v>
      </c>
      <c r="N29" s="26">
        <f t="shared" si="20"/>
        <v>0</v>
      </c>
      <c r="O29" s="78"/>
      <c r="P29" s="32"/>
      <c r="Q29" s="32"/>
      <c r="R29" s="26">
        <f t="shared" si="21"/>
        <v>0</v>
      </c>
      <c r="S29" s="32"/>
      <c r="T29" s="32"/>
      <c r="U29" s="32"/>
      <c r="V29" s="33">
        <f t="shared" si="22"/>
        <v>0.80600000000000005</v>
      </c>
    </row>
    <row r="30" spans="1:22" ht="135.75" customHeight="1">
      <c r="A30" s="23"/>
      <c r="B30" s="87" t="s">
        <v>143</v>
      </c>
      <c r="C30" s="34">
        <v>815</v>
      </c>
      <c r="D30" s="35" t="s">
        <v>48</v>
      </c>
      <c r="E30" s="34" t="s">
        <v>144</v>
      </c>
      <c r="F30" s="27">
        <f t="shared" ref="F30" si="23">G30+H30+I30</f>
        <v>0</v>
      </c>
      <c r="G30" s="78"/>
      <c r="H30" s="78"/>
      <c r="I30" s="78"/>
      <c r="J30" s="27">
        <f t="shared" ref="J30" si="24">K30+L30+M30</f>
        <v>0</v>
      </c>
      <c r="K30" s="78"/>
      <c r="L30" s="78"/>
      <c r="M30" s="78"/>
      <c r="N30" s="26">
        <f t="shared" ref="N30" si="25">O30+P30+Q30</f>
        <v>3702</v>
      </c>
      <c r="O30" s="78">
        <v>111.06</v>
      </c>
      <c r="P30" s="32">
        <v>3590.9</v>
      </c>
      <c r="Q30" s="32"/>
      <c r="R30" s="26">
        <f t="shared" ref="R30" si="26">S30+T30+U30</f>
        <v>0</v>
      </c>
      <c r="S30" s="32">
        <v>0</v>
      </c>
      <c r="T30" s="32">
        <v>0</v>
      </c>
      <c r="U30" s="32"/>
      <c r="V30" s="33" t="e">
        <f t="shared" si="4"/>
        <v>#DIV/0!</v>
      </c>
    </row>
    <row r="31" spans="1:22" ht="45.75" customHeight="1">
      <c r="A31" s="10" t="s">
        <v>28</v>
      </c>
      <c r="B31" s="47" t="s">
        <v>29</v>
      </c>
      <c r="C31" s="25" t="s">
        <v>12</v>
      </c>
      <c r="D31" s="25" t="s">
        <v>12</v>
      </c>
      <c r="E31" s="25" t="s">
        <v>12</v>
      </c>
      <c r="F31" s="27">
        <f>G31+H31+I31</f>
        <v>1875337.9</v>
      </c>
      <c r="G31" s="26">
        <f>SUM(G33:G36)</f>
        <v>205520.4</v>
      </c>
      <c r="H31" s="26">
        <f>SUM(H33:H36)</f>
        <v>1669817.5</v>
      </c>
      <c r="I31" s="26">
        <f>SUM(I33:I36)</f>
        <v>0</v>
      </c>
      <c r="J31" s="27">
        <f t="shared" ref="J31" si="27">K31+L31+M31</f>
        <v>1736226.1</v>
      </c>
      <c r="K31" s="26">
        <f>SUM(K33:K36)</f>
        <v>181424.5</v>
      </c>
      <c r="L31" s="26">
        <f>SUM(L33:L36)</f>
        <v>1554801.6</v>
      </c>
      <c r="M31" s="26">
        <f>SUM(M33:M36)</f>
        <v>0</v>
      </c>
      <c r="N31" s="26">
        <f t="shared" si="16"/>
        <v>2082467.1</v>
      </c>
      <c r="O31" s="26">
        <f>SUM(O33:O36)</f>
        <v>107226</v>
      </c>
      <c r="P31" s="27">
        <f>SUM(P33:P36)</f>
        <v>1975241.1</v>
      </c>
      <c r="Q31" s="27">
        <f>SUM(Q33:Q36)</f>
        <v>0</v>
      </c>
      <c r="R31" s="26">
        <f t="shared" si="17"/>
        <v>2178279.7000000002</v>
      </c>
      <c r="S31" s="27">
        <f>SUM(S33:S36)</f>
        <v>113235</v>
      </c>
      <c r="T31" s="27">
        <f>SUM(T33:T36)</f>
        <v>2065044.7</v>
      </c>
      <c r="U31" s="27">
        <f>SUM(U33:U36)</f>
        <v>0</v>
      </c>
      <c r="V31" s="28">
        <f t="shared" si="4"/>
        <v>0.92600000000000005</v>
      </c>
    </row>
    <row r="32" spans="1:22" ht="18.75">
      <c r="A32" s="23"/>
      <c r="B32" s="39" t="s">
        <v>15</v>
      </c>
      <c r="C32" s="31"/>
      <c r="D32" s="41"/>
      <c r="E32" s="31"/>
      <c r="F32" s="27"/>
      <c r="G32" s="26"/>
      <c r="H32" s="26"/>
      <c r="I32" s="26"/>
      <c r="J32" s="27"/>
      <c r="K32" s="26"/>
      <c r="L32" s="26"/>
      <c r="M32" s="26"/>
      <c r="N32" s="26"/>
      <c r="O32" s="26"/>
      <c r="P32" s="27"/>
      <c r="Q32" s="27"/>
      <c r="R32" s="26"/>
      <c r="S32" s="27"/>
      <c r="T32" s="27"/>
      <c r="U32" s="27"/>
      <c r="V32" s="28"/>
    </row>
    <row r="33" spans="1:101" ht="73.5" customHeight="1">
      <c r="A33" s="23"/>
      <c r="B33" s="40" t="s">
        <v>31</v>
      </c>
      <c r="C33" s="34">
        <v>809</v>
      </c>
      <c r="D33" s="35" t="s">
        <v>20</v>
      </c>
      <c r="E33" s="34" t="s">
        <v>152</v>
      </c>
      <c r="F33" s="27">
        <f>G33+H33+I33</f>
        <v>553293.69999999995</v>
      </c>
      <c r="G33" s="78">
        <v>71928.2</v>
      </c>
      <c r="H33" s="78">
        <v>481365.5</v>
      </c>
      <c r="I33" s="78"/>
      <c r="J33" s="27">
        <f t="shared" ref="J33:J35" si="28">K33+L33+M33</f>
        <v>513261.8</v>
      </c>
      <c r="K33" s="78">
        <v>66724</v>
      </c>
      <c r="L33" s="78">
        <v>446537.8</v>
      </c>
      <c r="M33" s="78"/>
      <c r="N33" s="26">
        <f t="shared" ref="N33:N35" si="29">O33+P33+Q33</f>
        <v>824815.6</v>
      </c>
      <c r="O33" s="78">
        <v>107226</v>
      </c>
      <c r="P33" s="32">
        <v>717589.6</v>
      </c>
      <c r="Q33" s="32"/>
      <c r="R33" s="26">
        <f t="shared" ref="R33:R35" si="30">S33+T33+U33</f>
        <v>871038.2</v>
      </c>
      <c r="S33" s="32">
        <v>113235</v>
      </c>
      <c r="T33" s="32">
        <v>757803.2</v>
      </c>
      <c r="U33" s="32"/>
      <c r="V33" s="33">
        <f t="shared" si="4"/>
        <v>0.92800000000000005</v>
      </c>
    </row>
    <row r="34" spans="1:101" ht="87" customHeight="1">
      <c r="A34" s="23"/>
      <c r="B34" s="108" t="s">
        <v>381</v>
      </c>
      <c r="C34" s="34">
        <v>809</v>
      </c>
      <c r="D34" s="35" t="s">
        <v>20</v>
      </c>
      <c r="E34" s="34" t="s">
        <v>380</v>
      </c>
      <c r="F34" s="27">
        <f>G34+H34+I34</f>
        <v>1422.4</v>
      </c>
      <c r="G34" s="78">
        <v>184.9</v>
      </c>
      <c r="H34" s="78">
        <v>1237.5</v>
      </c>
      <c r="I34" s="78"/>
      <c r="J34" s="27">
        <f t="shared" si="28"/>
        <v>0</v>
      </c>
      <c r="K34" s="78"/>
      <c r="L34" s="78"/>
      <c r="M34" s="78"/>
      <c r="N34" s="26">
        <f t="shared" si="29"/>
        <v>0</v>
      </c>
      <c r="O34" s="78"/>
      <c r="P34" s="32"/>
      <c r="Q34" s="32"/>
      <c r="R34" s="26">
        <f t="shared" si="30"/>
        <v>0</v>
      </c>
      <c r="S34" s="32"/>
      <c r="T34" s="32"/>
      <c r="U34" s="32"/>
      <c r="V34" s="33"/>
    </row>
    <row r="35" spans="1:101" ht="48" customHeight="1">
      <c r="A35" s="23"/>
      <c r="B35" s="40" t="s">
        <v>30</v>
      </c>
      <c r="C35" s="34">
        <v>809</v>
      </c>
      <c r="D35" s="35" t="s">
        <v>20</v>
      </c>
      <c r="E35" s="34" t="s">
        <v>153</v>
      </c>
      <c r="F35" s="27">
        <f t="shared" si="0"/>
        <v>1187214.5</v>
      </c>
      <c r="G35" s="78"/>
      <c r="H35" s="78">
        <v>1187214.5</v>
      </c>
      <c r="I35" s="78"/>
      <c r="J35" s="27">
        <f t="shared" si="28"/>
        <v>1108263.8</v>
      </c>
      <c r="K35" s="78"/>
      <c r="L35" s="78">
        <v>1108263.8</v>
      </c>
      <c r="M35" s="78"/>
      <c r="N35" s="26">
        <f t="shared" si="29"/>
        <v>1257651.5</v>
      </c>
      <c r="O35" s="78"/>
      <c r="P35" s="32">
        <v>1257651.5</v>
      </c>
      <c r="Q35" s="32"/>
      <c r="R35" s="26">
        <f t="shared" si="30"/>
        <v>1307241.5</v>
      </c>
      <c r="S35" s="32"/>
      <c r="T35" s="32">
        <v>1307241.5</v>
      </c>
      <c r="U35" s="32"/>
      <c r="V35" s="33">
        <f t="shared" si="4"/>
        <v>0.93300000000000005</v>
      </c>
    </row>
    <row r="36" spans="1:101" ht="93" customHeight="1">
      <c r="A36" s="23"/>
      <c r="B36" s="40" t="s">
        <v>212</v>
      </c>
      <c r="C36" s="34">
        <v>809</v>
      </c>
      <c r="D36" s="35" t="s">
        <v>20</v>
      </c>
      <c r="E36" s="34" t="s">
        <v>164</v>
      </c>
      <c r="F36" s="27">
        <f t="shared" ref="F36" si="31">G36+H36+I36</f>
        <v>133407.29999999999</v>
      </c>
      <c r="G36" s="78">
        <v>133407.29999999999</v>
      </c>
      <c r="H36" s="78"/>
      <c r="I36" s="78"/>
      <c r="J36" s="26">
        <f t="shared" ref="J36" si="32">K36+L36+M36</f>
        <v>114700.5</v>
      </c>
      <c r="K36" s="78">
        <v>114700.5</v>
      </c>
      <c r="L36" s="78"/>
      <c r="M36" s="78"/>
      <c r="N36" s="26">
        <f t="shared" ref="N36" si="33">O36+P36+Q36</f>
        <v>0</v>
      </c>
      <c r="O36" s="78"/>
      <c r="P36" s="32"/>
      <c r="Q36" s="32"/>
      <c r="R36" s="26">
        <f t="shared" ref="R36" si="34">S36+T36+U36</f>
        <v>0</v>
      </c>
      <c r="S36" s="32"/>
      <c r="T36" s="32"/>
      <c r="U36" s="32"/>
      <c r="V36" s="33">
        <f t="shared" ref="V36" si="35">J36/F36</f>
        <v>0.86</v>
      </c>
    </row>
    <row r="37" spans="1:101" ht="24" customHeight="1">
      <c r="A37" s="20" t="s">
        <v>32</v>
      </c>
      <c r="B37" s="42" t="s">
        <v>33</v>
      </c>
      <c r="C37" s="43" t="s">
        <v>12</v>
      </c>
      <c r="D37" s="43" t="s">
        <v>12</v>
      </c>
      <c r="E37" s="43" t="s">
        <v>12</v>
      </c>
      <c r="F37" s="44">
        <f t="shared" si="0"/>
        <v>3769643.2</v>
      </c>
      <c r="G37" s="44">
        <f>G38+G42+G46+G53+G56</f>
        <v>797408.8</v>
      </c>
      <c r="H37" s="44">
        <f t="shared" ref="H37" si="36">H38+H42+H46+H53+H56</f>
        <v>2972234.4</v>
      </c>
      <c r="I37" s="44">
        <f>I38+I42+I46+I53+I56</f>
        <v>0</v>
      </c>
      <c r="J37" s="44">
        <f t="shared" ref="J37:J38" si="37">K37+L37+M37</f>
        <v>1564141.6</v>
      </c>
      <c r="K37" s="44">
        <f>K38+K42+K46+K53+K56</f>
        <v>447925.6</v>
      </c>
      <c r="L37" s="44">
        <f t="shared" ref="L37:M37" si="38">L38+L42+L46+L53+L56</f>
        <v>1116216</v>
      </c>
      <c r="M37" s="44">
        <f t="shared" si="38"/>
        <v>0</v>
      </c>
      <c r="N37" s="44">
        <f t="shared" ref="N37:N38" si="39">O37+P37+Q37</f>
        <v>1266859</v>
      </c>
      <c r="O37" s="44">
        <f>O38+O42+O46+O53+O56</f>
        <v>191286.3</v>
      </c>
      <c r="P37" s="44">
        <f>P38+P42+P46+P53+P56</f>
        <v>1075572.7</v>
      </c>
      <c r="Q37" s="44">
        <f>Q38+Q42+Q46+Q53+Q56</f>
        <v>0</v>
      </c>
      <c r="R37" s="44">
        <f t="shared" ref="R37:R38" si="40">S37+T37+U37</f>
        <v>1317986.5</v>
      </c>
      <c r="S37" s="44">
        <f>S38+S42+S46+S53+S56</f>
        <v>163759.4</v>
      </c>
      <c r="T37" s="44">
        <f>T38+T42+T46+T53+T56</f>
        <v>1154227.1000000001</v>
      </c>
      <c r="U37" s="44">
        <f>U38+U42+U46+U53+U56</f>
        <v>0</v>
      </c>
      <c r="V37" s="45">
        <f t="shared" si="4"/>
        <v>0.41499999999999998</v>
      </c>
    </row>
    <row r="38" spans="1:101" ht="51.75" customHeight="1">
      <c r="A38" s="23" t="s">
        <v>34</v>
      </c>
      <c r="B38" s="46" t="s">
        <v>35</v>
      </c>
      <c r="C38" s="25" t="s">
        <v>12</v>
      </c>
      <c r="D38" s="25" t="s">
        <v>12</v>
      </c>
      <c r="E38" s="25" t="s">
        <v>12</v>
      </c>
      <c r="F38" s="27">
        <f t="shared" si="0"/>
        <v>366990.3</v>
      </c>
      <c r="G38" s="26">
        <f>SUM(G40:G41)</f>
        <v>266925.09999999998</v>
      </c>
      <c r="H38" s="26">
        <f>SUM(H40:H41)</f>
        <v>100065.2</v>
      </c>
      <c r="I38" s="26">
        <f>SUM(I40:I41)</f>
        <v>0</v>
      </c>
      <c r="J38" s="27">
        <f t="shared" si="37"/>
        <v>366990.3</v>
      </c>
      <c r="K38" s="26">
        <f>SUM(K40:K41)</f>
        <v>266925.09999999998</v>
      </c>
      <c r="L38" s="26">
        <f>SUM(L40:L41)</f>
        <v>100065.2</v>
      </c>
      <c r="M38" s="26">
        <f>SUM(M40:M41)</f>
        <v>0</v>
      </c>
      <c r="N38" s="27">
        <f t="shared" si="39"/>
        <v>226690.3</v>
      </c>
      <c r="O38" s="26">
        <f>SUM(O40:O41)</f>
        <v>139352.6</v>
      </c>
      <c r="P38" s="27">
        <f>SUM(P40:P41)</f>
        <v>87337.7</v>
      </c>
      <c r="Q38" s="27">
        <f>SUM(Q40:Q41)</f>
        <v>0</v>
      </c>
      <c r="R38" s="27">
        <f t="shared" si="40"/>
        <v>226690.3</v>
      </c>
      <c r="S38" s="27">
        <f>SUM(S40:S41)</f>
        <v>121119.4</v>
      </c>
      <c r="T38" s="27">
        <f>SUM(T40:T41)</f>
        <v>105570.9</v>
      </c>
      <c r="U38" s="27">
        <f>SUM(U40:U41)</f>
        <v>0</v>
      </c>
      <c r="V38" s="37">
        <f t="shared" si="4"/>
        <v>1</v>
      </c>
    </row>
    <row r="39" spans="1:101" ht="24" customHeight="1">
      <c r="A39" s="38"/>
      <c r="B39" s="39" t="s">
        <v>15</v>
      </c>
      <c r="C39" s="31"/>
      <c r="D39" s="31"/>
      <c r="E39" s="31"/>
      <c r="F39" s="27"/>
      <c r="G39" s="26"/>
      <c r="H39" s="26"/>
      <c r="I39" s="26"/>
      <c r="J39" s="27"/>
      <c r="K39" s="26"/>
      <c r="L39" s="26"/>
      <c r="M39" s="26"/>
      <c r="N39" s="27"/>
      <c r="O39" s="26"/>
      <c r="P39" s="27"/>
      <c r="Q39" s="27"/>
      <c r="R39" s="27"/>
      <c r="S39" s="27"/>
      <c r="T39" s="27"/>
      <c r="U39" s="27"/>
      <c r="V39" s="37"/>
    </row>
    <row r="40" spans="1:101" ht="54" customHeight="1">
      <c r="A40" s="38"/>
      <c r="B40" s="40" t="s">
        <v>222</v>
      </c>
      <c r="C40" s="34">
        <v>811</v>
      </c>
      <c r="D40" s="35" t="s">
        <v>17</v>
      </c>
      <c r="E40" s="34" t="s">
        <v>118</v>
      </c>
      <c r="F40" s="27">
        <f t="shared" si="0"/>
        <v>198000</v>
      </c>
      <c r="G40" s="78">
        <v>97934.8</v>
      </c>
      <c r="H40" s="78">
        <v>100065.2</v>
      </c>
      <c r="I40" s="78"/>
      <c r="J40" s="27">
        <f t="shared" ref="J40:J42" si="41">K40+L40+M40</f>
        <v>198000</v>
      </c>
      <c r="K40" s="78">
        <v>97934.8</v>
      </c>
      <c r="L40" s="78">
        <v>100065.2</v>
      </c>
      <c r="M40" s="78"/>
      <c r="N40" s="27">
        <f t="shared" ref="N40:N42" si="42">O40+P40+Q40</f>
        <v>198000</v>
      </c>
      <c r="O40" s="78">
        <v>110662.3</v>
      </c>
      <c r="P40" s="32">
        <v>87337.7</v>
      </c>
      <c r="Q40" s="32"/>
      <c r="R40" s="27">
        <f t="shared" ref="R40:R42" si="43">S40+T40+U40</f>
        <v>198000</v>
      </c>
      <c r="S40" s="32">
        <v>92429.1</v>
      </c>
      <c r="T40" s="32">
        <v>105570.9</v>
      </c>
      <c r="U40" s="32"/>
      <c r="V40" s="33">
        <f t="shared" si="4"/>
        <v>1</v>
      </c>
    </row>
    <row r="41" spans="1:101" ht="55.5" customHeight="1">
      <c r="A41" s="38"/>
      <c r="B41" s="40" t="s">
        <v>36</v>
      </c>
      <c r="C41" s="34">
        <v>811</v>
      </c>
      <c r="D41" s="35" t="s">
        <v>17</v>
      </c>
      <c r="E41" s="34" t="s">
        <v>165</v>
      </c>
      <c r="F41" s="27">
        <f t="shared" si="0"/>
        <v>168990.3</v>
      </c>
      <c r="G41" s="78">
        <v>168990.3</v>
      </c>
      <c r="H41" s="78"/>
      <c r="I41" s="78"/>
      <c r="J41" s="27">
        <f t="shared" si="41"/>
        <v>168990.3</v>
      </c>
      <c r="K41" s="78">
        <v>168990.3</v>
      </c>
      <c r="L41" s="78"/>
      <c r="M41" s="78"/>
      <c r="N41" s="27">
        <f t="shared" si="42"/>
        <v>28690.3</v>
      </c>
      <c r="O41" s="78">
        <v>28690.3</v>
      </c>
      <c r="P41" s="32"/>
      <c r="Q41" s="32"/>
      <c r="R41" s="27">
        <f t="shared" si="43"/>
        <v>28690.3</v>
      </c>
      <c r="S41" s="32">
        <v>28690.3</v>
      </c>
      <c r="T41" s="32"/>
      <c r="U41" s="32"/>
      <c r="V41" s="33">
        <f t="shared" si="4"/>
        <v>1</v>
      </c>
    </row>
    <row r="42" spans="1:101" ht="36.75" customHeight="1">
      <c r="A42" s="23" t="s">
        <v>37</v>
      </c>
      <c r="B42" s="47" t="s">
        <v>38</v>
      </c>
      <c r="C42" s="25" t="s">
        <v>12</v>
      </c>
      <c r="D42" s="25" t="s">
        <v>12</v>
      </c>
      <c r="E42" s="25" t="s">
        <v>12</v>
      </c>
      <c r="F42" s="27">
        <f t="shared" ref="F42:F105" si="44">G42+H42+I42</f>
        <v>177383.1</v>
      </c>
      <c r="G42" s="26">
        <f>SUM(G44:G45)</f>
        <v>1629.2</v>
      </c>
      <c r="H42" s="26">
        <f>SUM(H44:H45)</f>
        <v>175753.9</v>
      </c>
      <c r="I42" s="26">
        <f>SUM(I44:I45)</f>
        <v>0</v>
      </c>
      <c r="J42" s="27">
        <f t="shared" si="41"/>
        <v>108287.1</v>
      </c>
      <c r="K42" s="26">
        <f>SUM(K44:K45)</f>
        <v>1518</v>
      </c>
      <c r="L42" s="26">
        <f>SUM(L44:L45)</f>
        <v>106769.1</v>
      </c>
      <c r="M42" s="26">
        <f>SUM(M44:M45)</f>
        <v>0</v>
      </c>
      <c r="N42" s="27">
        <f t="shared" si="42"/>
        <v>120419.7</v>
      </c>
      <c r="O42" s="26">
        <f>SUM(O44:O45)</f>
        <v>1607.3</v>
      </c>
      <c r="P42" s="27">
        <f>SUM(P44:P45)</f>
        <v>118812.4</v>
      </c>
      <c r="Q42" s="27">
        <f>SUM(Q44:Q45)</f>
        <v>0</v>
      </c>
      <c r="R42" s="27">
        <f t="shared" si="43"/>
        <v>172977.9</v>
      </c>
      <c r="S42" s="27">
        <f>SUM(S44:S45)</f>
        <v>5189.3999999999996</v>
      </c>
      <c r="T42" s="27">
        <f>SUM(T44:T45)</f>
        <v>167788.5</v>
      </c>
      <c r="U42" s="27">
        <f>SUM(U44:U45)</f>
        <v>0</v>
      </c>
      <c r="V42" s="28">
        <f t="shared" ref="V42:V108" si="45">J42/F42</f>
        <v>0.61</v>
      </c>
    </row>
    <row r="43" spans="1:101" ht="18.75">
      <c r="A43" s="38"/>
      <c r="B43" s="39" t="s">
        <v>15</v>
      </c>
      <c r="C43" s="31"/>
      <c r="D43" s="31"/>
      <c r="E43" s="31"/>
      <c r="F43" s="27"/>
      <c r="G43" s="26"/>
      <c r="H43" s="26"/>
      <c r="I43" s="26"/>
      <c r="J43" s="27"/>
      <c r="K43" s="26"/>
      <c r="L43" s="26"/>
      <c r="M43" s="26"/>
      <c r="N43" s="27"/>
      <c r="O43" s="26"/>
      <c r="P43" s="27"/>
      <c r="Q43" s="27"/>
      <c r="R43" s="27"/>
      <c r="S43" s="27"/>
      <c r="T43" s="27"/>
      <c r="U43" s="27"/>
      <c r="V43" s="28"/>
    </row>
    <row r="44" spans="1:101" s="54" customFormat="1" ht="47.25" customHeight="1">
      <c r="A44" s="48"/>
      <c r="B44" s="49" t="s">
        <v>39</v>
      </c>
      <c r="C44" s="50">
        <v>811</v>
      </c>
      <c r="D44" s="51" t="s">
        <v>17</v>
      </c>
      <c r="E44" s="50" t="s">
        <v>119</v>
      </c>
      <c r="F44" s="66">
        <f t="shared" si="44"/>
        <v>123078.6</v>
      </c>
      <c r="G44" s="105"/>
      <c r="H44" s="105">
        <v>123078.6</v>
      </c>
      <c r="I44" s="105"/>
      <c r="J44" s="66">
        <f t="shared" ref="J44:J45" si="46">K44+L44+M44</f>
        <v>57689.3</v>
      </c>
      <c r="K44" s="105"/>
      <c r="L44" s="105">
        <v>57689.3</v>
      </c>
      <c r="M44" s="105"/>
      <c r="N44" s="27">
        <f t="shared" ref="N44:N45" si="47">O44+P44+Q44</f>
        <v>66844.800000000003</v>
      </c>
      <c r="O44" s="105"/>
      <c r="P44" s="52">
        <v>66844.800000000003</v>
      </c>
      <c r="Q44" s="52"/>
      <c r="R44" s="27">
        <f t="shared" ref="R44:R45" si="48">S44+T44+U44</f>
        <v>119403</v>
      </c>
      <c r="S44" s="52">
        <v>3582.1</v>
      </c>
      <c r="T44" s="52">
        <v>115820.9</v>
      </c>
      <c r="U44" s="52"/>
      <c r="V44" s="53">
        <f t="shared" si="45"/>
        <v>0.46899999999999997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</row>
    <row r="45" spans="1:101" s="54" customFormat="1" ht="75.75" customHeight="1">
      <c r="A45" s="48"/>
      <c r="B45" s="49" t="s">
        <v>121</v>
      </c>
      <c r="C45" s="50">
        <v>811</v>
      </c>
      <c r="D45" s="51" t="s">
        <v>17</v>
      </c>
      <c r="E45" s="50" t="s">
        <v>120</v>
      </c>
      <c r="F45" s="66">
        <f t="shared" si="44"/>
        <v>54304.5</v>
      </c>
      <c r="G45" s="105">
        <f>1607.3+21.9</f>
        <v>1629.2</v>
      </c>
      <c r="H45" s="105">
        <f>51967.6+707.7</f>
        <v>52675.3</v>
      </c>
      <c r="I45" s="105"/>
      <c r="J45" s="66">
        <f t="shared" si="46"/>
        <v>50597.8</v>
      </c>
      <c r="K45" s="105">
        <v>1518</v>
      </c>
      <c r="L45" s="105">
        <v>49079.8</v>
      </c>
      <c r="M45" s="105"/>
      <c r="N45" s="27">
        <f t="shared" si="47"/>
        <v>53574.9</v>
      </c>
      <c r="O45" s="105">
        <v>1607.3</v>
      </c>
      <c r="P45" s="52">
        <v>51967.6</v>
      </c>
      <c r="Q45" s="52"/>
      <c r="R45" s="27">
        <f t="shared" si="48"/>
        <v>53574.9</v>
      </c>
      <c r="S45" s="52">
        <v>1607.3</v>
      </c>
      <c r="T45" s="52">
        <v>51967.6</v>
      </c>
      <c r="U45" s="52"/>
      <c r="V45" s="53">
        <f t="shared" si="45"/>
        <v>0.93200000000000005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</row>
    <row r="46" spans="1:101" s="7" customFormat="1" ht="39.75" customHeight="1">
      <c r="A46" s="23" t="s">
        <v>40</v>
      </c>
      <c r="B46" s="46" t="s">
        <v>43</v>
      </c>
      <c r="C46" s="25" t="s">
        <v>12</v>
      </c>
      <c r="D46" s="25" t="s">
        <v>12</v>
      </c>
      <c r="E46" s="25" t="s">
        <v>12</v>
      </c>
      <c r="F46" s="27">
        <f t="shared" si="44"/>
        <v>1900413.9</v>
      </c>
      <c r="G46" s="26">
        <f>SUM(G48:G52)</f>
        <v>458449.7</v>
      </c>
      <c r="H46" s="26">
        <f t="shared" ref="H46:I46" si="49">SUM(H48:H52)</f>
        <v>1441964.2</v>
      </c>
      <c r="I46" s="26">
        <f t="shared" si="49"/>
        <v>0</v>
      </c>
      <c r="J46" s="27">
        <f t="shared" ref="J46" si="50">K46+L46+M46</f>
        <v>798231.1</v>
      </c>
      <c r="K46" s="26">
        <f>SUM(K48:K52)</f>
        <v>166113</v>
      </c>
      <c r="L46" s="26">
        <f t="shared" ref="L46:M46" si="51">SUM(L48:L52)</f>
        <v>632118.1</v>
      </c>
      <c r="M46" s="26">
        <f t="shared" si="51"/>
        <v>0</v>
      </c>
      <c r="N46" s="27">
        <f t="shared" ref="N46" si="52">O46+P46+Q46</f>
        <v>54940.6</v>
      </c>
      <c r="O46" s="26">
        <f>SUM(O48:O52)</f>
        <v>0</v>
      </c>
      <c r="P46" s="27">
        <f t="shared" ref="P46:Q46" si="53">SUM(P48:P52)</f>
        <v>54940.6</v>
      </c>
      <c r="Q46" s="27">
        <f t="shared" si="53"/>
        <v>0</v>
      </c>
      <c r="R46" s="27">
        <f t="shared" ref="R46" si="54">S46+T46+U46</f>
        <v>64076.800000000003</v>
      </c>
      <c r="S46" s="27">
        <f>SUM(S48:S52)</f>
        <v>1922.3</v>
      </c>
      <c r="T46" s="27">
        <f>SUM(T48:T52)</f>
        <v>62154.5</v>
      </c>
      <c r="U46" s="27">
        <f t="shared" ref="U46" si="55">SUM(U48:U52)</f>
        <v>0</v>
      </c>
      <c r="V46" s="28">
        <f>J46/F46</f>
        <v>0.42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</row>
    <row r="47" spans="1:101" ht="18.75">
      <c r="A47" s="38"/>
      <c r="B47" s="39" t="s">
        <v>15</v>
      </c>
      <c r="C47" s="31"/>
      <c r="D47" s="31"/>
      <c r="E47" s="31"/>
      <c r="F47" s="27"/>
      <c r="G47" s="26"/>
      <c r="H47" s="26"/>
      <c r="I47" s="26"/>
      <c r="J47" s="27"/>
      <c r="K47" s="26"/>
      <c r="L47" s="26"/>
      <c r="M47" s="26"/>
      <c r="N47" s="27"/>
      <c r="O47" s="26"/>
      <c r="P47" s="27"/>
      <c r="Q47" s="27"/>
      <c r="R47" s="27"/>
      <c r="S47" s="27"/>
      <c r="T47" s="27"/>
      <c r="U47" s="27"/>
      <c r="V47" s="28"/>
    </row>
    <row r="48" spans="1:101" ht="57" customHeight="1">
      <c r="A48" s="38"/>
      <c r="B48" s="40" t="s">
        <v>122</v>
      </c>
      <c r="C48" s="34" t="s">
        <v>257</v>
      </c>
      <c r="D48" s="35" t="s">
        <v>17</v>
      </c>
      <c r="E48" s="34" t="s">
        <v>123</v>
      </c>
      <c r="F48" s="27">
        <f t="shared" si="44"/>
        <v>211277.1</v>
      </c>
      <c r="G48" s="78">
        <v>0</v>
      </c>
      <c r="H48" s="78">
        <v>211277.1</v>
      </c>
      <c r="I48" s="78"/>
      <c r="J48" s="27">
        <f t="shared" ref="J48:J53" si="56">K48+L48+M48</f>
        <v>49049.1</v>
      </c>
      <c r="K48" s="78"/>
      <c r="L48" s="78">
        <v>49049.1</v>
      </c>
      <c r="M48" s="78"/>
      <c r="N48" s="27">
        <f t="shared" ref="N48:N53" si="57">O48+P48+Q48</f>
        <v>54940.6</v>
      </c>
      <c r="O48" s="78">
        <v>0</v>
      </c>
      <c r="P48" s="32">
        <v>54940.6</v>
      </c>
      <c r="Q48" s="32"/>
      <c r="R48" s="27">
        <f t="shared" ref="R48:R53" si="58">S48+T48+U48</f>
        <v>64076.800000000003</v>
      </c>
      <c r="S48" s="32">
        <v>1922.3</v>
      </c>
      <c r="T48" s="32">
        <v>62154.5</v>
      </c>
      <c r="U48" s="32"/>
      <c r="V48" s="33">
        <f t="shared" si="45"/>
        <v>0.23200000000000001</v>
      </c>
    </row>
    <row r="49" spans="1:101" ht="48" customHeight="1">
      <c r="A49" s="38"/>
      <c r="B49" s="40" t="s">
        <v>344</v>
      </c>
      <c r="C49" s="34">
        <v>821</v>
      </c>
      <c r="D49" s="35" t="s">
        <v>19</v>
      </c>
      <c r="E49" s="34" t="s">
        <v>343</v>
      </c>
      <c r="F49" s="27">
        <f t="shared" ref="F49:F51" si="59">G49+H49+I49</f>
        <v>1551358.9</v>
      </c>
      <c r="G49" s="78">
        <f>320671.8</f>
        <v>320671.8</v>
      </c>
      <c r="H49" s="78">
        <v>1230687.1000000001</v>
      </c>
      <c r="I49" s="78"/>
      <c r="J49" s="27">
        <f t="shared" ref="J49:J51" si="60">K49+L49+M49</f>
        <v>734995.3</v>
      </c>
      <c r="K49" s="78">
        <v>151926.29999999999</v>
      </c>
      <c r="L49" s="78">
        <v>583069</v>
      </c>
      <c r="M49" s="78"/>
      <c r="N49" s="27">
        <f t="shared" ref="N49:N51" si="61">O49+P49+Q49</f>
        <v>0</v>
      </c>
      <c r="O49" s="78"/>
      <c r="P49" s="32"/>
      <c r="Q49" s="32"/>
      <c r="R49" s="27">
        <f t="shared" ref="R49:R51" si="62">S49+T49+U49</f>
        <v>0</v>
      </c>
      <c r="S49" s="32"/>
      <c r="T49" s="32"/>
      <c r="U49" s="32"/>
      <c r="V49" s="33">
        <f t="shared" ref="V49:V51" si="63">J49/F49</f>
        <v>0.47399999999999998</v>
      </c>
    </row>
    <row r="50" spans="1:101" ht="48" customHeight="1">
      <c r="A50" s="38"/>
      <c r="B50" s="40" t="s">
        <v>344</v>
      </c>
      <c r="C50" s="34" t="s">
        <v>257</v>
      </c>
      <c r="D50" s="35" t="s">
        <v>17</v>
      </c>
      <c r="E50" s="34" t="s">
        <v>343</v>
      </c>
      <c r="F50" s="27">
        <f t="shared" si="59"/>
        <v>0</v>
      </c>
      <c r="G50" s="78"/>
      <c r="H50" s="78"/>
      <c r="I50" s="78"/>
      <c r="J50" s="27">
        <f t="shared" si="60"/>
        <v>0</v>
      </c>
      <c r="K50" s="78"/>
      <c r="L50" s="78"/>
      <c r="M50" s="78"/>
      <c r="N50" s="27">
        <f t="shared" si="61"/>
        <v>0</v>
      </c>
      <c r="O50" s="78"/>
      <c r="P50" s="32"/>
      <c r="Q50" s="32"/>
      <c r="R50" s="27">
        <f t="shared" si="62"/>
        <v>0</v>
      </c>
      <c r="S50" s="32"/>
      <c r="T50" s="32"/>
      <c r="U50" s="32"/>
      <c r="V50" s="33" t="e">
        <f t="shared" si="63"/>
        <v>#DIV/0!</v>
      </c>
    </row>
    <row r="51" spans="1:101" ht="48" customHeight="1">
      <c r="A51" s="38"/>
      <c r="B51" s="40" t="s">
        <v>348</v>
      </c>
      <c r="C51" s="34" t="s">
        <v>257</v>
      </c>
      <c r="D51" s="35" t="s">
        <v>17</v>
      </c>
      <c r="E51" s="34" t="s">
        <v>349</v>
      </c>
      <c r="F51" s="27">
        <f t="shared" si="59"/>
        <v>126807.8</v>
      </c>
      <c r="G51" s="78">
        <v>126807.8</v>
      </c>
      <c r="H51" s="78"/>
      <c r="I51" s="78"/>
      <c r="J51" s="27">
        <f t="shared" si="60"/>
        <v>10491.4</v>
      </c>
      <c r="K51" s="78">
        <v>10491.4</v>
      </c>
      <c r="L51" s="78"/>
      <c r="M51" s="78"/>
      <c r="N51" s="27">
        <f t="shared" si="61"/>
        <v>0</v>
      </c>
      <c r="O51" s="78"/>
      <c r="P51" s="32"/>
      <c r="Q51" s="32"/>
      <c r="R51" s="27">
        <f t="shared" si="62"/>
        <v>0</v>
      </c>
      <c r="S51" s="32"/>
      <c r="T51" s="32"/>
      <c r="U51" s="32"/>
      <c r="V51" s="33">
        <f t="shared" si="63"/>
        <v>8.3000000000000004E-2</v>
      </c>
    </row>
    <row r="52" spans="1:101" ht="69" customHeight="1">
      <c r="A52" s="38"/>
      <c r="B52" s="40" t="s">
        <v>348</v>
      </c>
      <c r="C52" s="34">
        <v>821</v>
      </c>
      <c r="D52" s="35" t="s">
        <v>19</v>
      </c>
      <c r="E52" s="34" t="s">
        <v>349</v>
      </c>
      <c r="F52" s="27">
        <f t="shared" ref="F52" si="64">G52+H52+I52</f>
        <v>10970.1</v>
      </c>
      <c r="G52" s="78">
        <v>10970.1</v>
      </c>
      <c r="H52" s="78"/>
      <c r="I52" s="78"/>
      <c r="J52" s="27">
        <f t="shared" ref="J52" si="65">K52+L52+M52</f>
        <v>3695.3</v>
      </c>
      <c r="K52" s="78">
        <v>3695.3</v>
      </c>
      <c r="L52" s="78"/>
      <c r="M52" s="78"/>
      <c r="N52" s="27">
        <f t="shared" ref="N52" si="66">O52+P52+Q52</f>
        <v>0</v>
      </c>
      <c r="O52" s="78"/>
      <c r="P52" s="32"/>
      <c r="Q52" s="32"/>
      <c r="R52" s="27">
        <f t="shared" ref="R52" si="67">S52+T52+U52</f>
        <v>0</v>
      </c>
      <c r="S52" s="32"/>
      <c r="T52" s="32"/>
      <c r="U52" s="32"/>
      <c r="V52" s="33">
        <f t="shared" ref="V52" si="68">J52/F52</f>
        <v>0.33700000000000002</v>
      </c>
    </row>
    <row r="53" spans="1:101" s="7" customFormat="1" ht="72.75" customHeight="1">
      <c r="A53" s="55" t="s">
        <v>41</v>
      </c>
      <c r="B53" s="47" t="s">
        <v>260</v>
      </c>
      <c r="C53" s="25" t="s">
        <v>12</v>
      </c>
      <c r="D53" s="25" t="s">
        <v>12</v>
      </c>
      <c r="E53" s="25" t="s">
        <v>12</v>
      </c>
      <c r="F53" s="27">
        <f>G53+H53+I53</f>
        <v>77368.899999999994</v>
      </c>
      <c r="G53" s="26">
        <f>SUM(G55)</f>
        <v>17669.400000000001</v>
      </c>
      <c r="H53" s="26">
        <f t="shared" ref="H53:I53" si="69">SUM(H55)</f>
        <v>59699.5</v>
      </c>
      <c r="I53" s="26">
        <f t="shared" si="69"/>
        <v>0</v>
      </c>
      <c r="J53" s="27">
        <f t="shared" si="56"/>
        <v>5821.4</v>
      </c>
      <c r="K53" s="26">
        <f>K55</f>
        <v>1329.5</v>
      </c>
      <c r="L53" s="26">
        <f>L55</f>
        <v>4491.8999999999996</v>
      </c>
      <c r="M53" s="26">
        <f t="shared" ref="M53" si="70">SUM(M55:M67)</f>
        <v>0</v>
      </c>
      <c r="N53" s="27">
        <f t="shared" si="57"/>
        <v>58091.1</v>
      </c>
      <c r="O53" s="26">
        <f>SUM(O55)</f>
        <v>16223.8</v>
      </c>
      <c r="P53" s="27">
        <f>SUM(P55)</f>
        <v>41867.300000000003</v>
      </c>
      <c r="Q53" s="27">
        <f t="shared" ref="Q53" si="71">SUM(Q55:Q67)</f>
        <v>0</v>
      </c>
      <c r="R53" s="27">
        <f t="shared" si="58"/>
        <v>47524.2</v>
      </c>
      <c r="S53" s="27">
        <f>SUM(S55)</f>
        <v>1425.7</v>
      </c>
      <c r="T53" s="27">
        <f>SUM(T55)</f>
        <v>46098.5</v>
      </c>
      <c r="U53" s="27">
        <f t="shared" ref="U53" si="72">SUM(U55:U67)</f>
        <v>0</v>
      </c>
      <c r="V53" s="28">
        <f t="shared" si="45"/>
        <v>7.4999999999999997E-2</v>
      </c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</row>
    <row r="54" spans="1:101" ht="22.5" customHeight="1">
      <c r="A54" s="13"/>
      <c r="B54" s="39" t="s">
        <v>15</v>
      </c>
      <c r="C54" s="31"/>
      <c r="D54" s="31"/>
      <c r="E54" s="31"/>
      <c r="F54" s="27"/>
      <c r="G54" s="26"/>
      <c r="H54" s="26"/>
      <c r="I54" s="26"/>
      <c r="J54" s="27"/>
      <c r="K54" s="26"/>
      <c r="L54" s="26"/>
      <c r="M54" s="26"/>
      <c r="N54" s="27"/>
      <c r="O54" s="26"/>
      <c r="P54" s="27"/>
      <c r="Q54" s="27"/>
      <c r="R54" s="27"/>
      <c r="S54" s="27"/>
      <c r="T54" s="27"/>
      <c r="U54" s="27"/>
      <c r="V54" s="28"/>
    </row>
    <row r="55" spans="1:101" ht="72.75" customHeight="1">
      <c r="A55" s="10"/>
      <c r="B55" s="40" t="s">
        <v>42</v>
      </c>
      <c r="C55" s="34" t="s">
        <v>257</v>
      </c>
      <c r="D55" s="35" t="s">
        <v>17</v>
      </c>
      <c r="E55" s="34" t="s">
        <v>124</v>
      </c>
      <c r="F55" s="27">
        <f t="shared" si="44"/>
        <v>77368.899999999994</v>
      </c>
      <c r="G55" s="78">
        <v>17669.400000000001</v>
      </c>
      <c r="H55" s="78">
        <v>59699.5</v>
      </c>
      <c r="I55" s="78"/>
      <c r="J55" s="27">
        <f t="shared" ref="J55:J69" si="73">K55+L55+M55</f>
        <v>5821.4</v>
      </c>
      <c r="K55" s="78">
        <v>1329.5</v>
      </c>
      <c r="L55" s="78">
        <v>4491.8999999999996</v>
      </c>
      <c r="M55" s="78"/>
      <c r="N55" s="27">
        <f t="shared" ref="N55:N68" si="74">O55+P55+Q55</f>
        <v>58091.1</v>
      </c>
      <c r="O55" s="78">
        <v>16223.8</v>
      </c>
      <c r="P55" s="32">
        <v>41867.300000000003</v>
      </c>
      <c r="Q55" s="32"/>
      <c r="R55" s="27">
        <f t="shared" ref="R55:R68" si="75">S55+T55+U55</f>
        <v>47524.2</v>
      </c>
      <c r="S55" s="32">
        <v>1425.7</v>
      </c>
      <c r="T55" s="32">
        <v>46098.5</v>
      </c>
      <c r="U55" s="32"/>
      <c r="V55" s="33">
        <f t="shared" si="45"/>
        <v>7.4999999999999997E-2</v>
      </c>
    </row>
    <row r="56" spans="1:101" ht="46.5" customHeight="1">
      <c r="A56" s="10" t="s">
        <v>261</v>
      </c>
      <c r="B56" s="47" t="s">
        <v>262</v>
      </c>
      <c r="C56" s="34" t="s">
        <v>12</v>
      </c>
      <c r="D56" s="35" t="s">
        <v>12</v>
      </c>
      <c r="E56" s="34" t="s">
        <v>12</v>
      </c>
      <c r="F56" s="27">
        <f>G56+H56+I56</f>
        <v>1247487</v>
      </c>
      <c r="G56" s="26">
        <f>SUM(G58:G67)</f>
        <v>52735.4</v>
      </c>
      <c r="H56" s="26">
        <f t="shared" ref="H56:I56" si="76">SUM(H58:H67)</f>
        <v>1194751.6000000001</v>
      </c>
      <c r="I56" s="26">
        <f t="shared" si="76"/>
        <v>0</v>
      </c>
      <c r="J56" s="27">
        <f>K56+L56+M56</f>
        <v>284811.7</v>
      </c>
      <c r="K56" s="26">
        <f>SUM(K58:K67)</f>
        <v>12040</v>
      </c>
      <c r="L56" s="26">
        <f t="shared" ref="L56:M56" si="77">SUM(L58:L67)</f>
        <v>272771.7</v>
      </c>
      <c r="M56" s="26">
        <f t="shared" si="77"/>
        <v>0</v>
      </c>
      <c r="N56" s="27">
        <f>O56+P56+Q56</f>
        <v>806717.3</v>
      </c>
      <c r="O56" s="26">
        <f>SUM(O58:O67)</f>
        <v>34102.6</v>
      </c>
      <c r="P56" s="27">
        <f t="shared" ref="P56:Q56" si="78">SUM(P58:P67)</f>
        <v>772614.7</v>
      </c>
      <c r="Q56" s="27">
        <f t="shared" si="78"/>
        <v>0</v>
      </c>
      <c r="R56" s="27">
        <f>S56+T56+U56</f>
        <v>806717.3</v>
      </c>
      <c r="S56" s="27">
        <f>SUM(S58:S67)</f>
        <v>34102.6</v>
      </c>
      <c r="T56" s="27">
        <f t="shared" ref="T56:U56" si="79">SUM(T58:T67)</f>
        <v>772614.7</v>
      </c>
      <c r="U56" s="27">
        <f t="shared" si="79"/>
        <v>0</v>
      </c>
      <c r="V56" s="33">
        <f t="shared" si="45"/>
        <v>0.22800000000000001</v>
      </c>
    </row>
    <row r="57" spans="1:101" ht="22.5" customHeight="1">
      <c r="A57" s="10"/>
      <c r="B57" s="39" t="s">
        <v>15</v>
      </c>
      <c r="C57" s="34"/>
      <c r="D57" s="35"/>
      <c r="E57" s="34"/>
      <c r="F57" s="27"/>
      <c r="G57" s="78"/>
      <c r="H57" s="78"/>
      <c r="I57" s="78"/>
      <c r="J57" s="27"/>
      <c r="K57" s="78"/>
      <c r="L57" s="78"/>
      <c r="M57" s="78"/>
      <c r="N57" s="27"/>
      <c r="O57" s="78"/>
      <c r="P57" s="32"/>
      <c r="Q57" s="32"/>
      <c r="R57" s="27"/>
      <c r="S57" s="32"/>
      <c r="T57" s="32"/>
      <c r="U57" s="32"/>
      <c r="V57" s="33"/>
    </row>
    <row r="58" spans="1:101" ht="60" customHeight="1">
      <c r="A58" s="23"/>
      <c r="B58" s="40" t="s">
        <v>268</v>
      </c>
      <c r="C58" s="34" t="s">
        <v>258</v>
      </c>
      <c r="D58" s="35" t="s">
        <v>19</v>
      </c>
      <c r="E58" s="35" t="s">
        <v>263</v>
      </c>
      <c r="F58" s="27">
        <f>G58+H58+I58</f>
        <v>243378.5</v>
      </c>
      <c r="G58" s="78">
        <f>8169.9+5779.4-3263.2-397.7</f>
        <v>10288.4</v>
      </c>
      <c r="H58" s="78">
        <f>185092.6-73927.1+130935.7-9011.1</f>
        <v>233090.1</v>
      </c>
      <c r="I58" s="78"/>
      <c r="J58" s="27">
        <f t="shared" si="73"/>
        <v>68554.600000000006</v>
      </c>
      <c r="K58" s="78">
        <v>2898</v>
      </c>
      <c r="L58" s="78">
        <v>65656.600000000006</v>
      </c>
      <c r="M58" s="78"/>
      <c r="N58" s="27">
        <f t="shared" si="74"/>
        <v>146767</v>
      </c>
      <c r="O58" s="78">
        <f>4286.6+432.5+1485.2</f>
        <v>6204.3</v>
      </c>
      <c r="P58" s="32">
        <f>97115.4+9799.1+33648.2</f>
        <v>140562.70000000001</v>
      </c>
      <c r="Q58" s="32"/>
      <c r="R58" s="27">
        <f t="shared" si="75"/>
        <v>142053.9</v>
      </c>
      <c r="S58" s="32">
        <f>7490.3-1485.2</f>
        <v>6005.1</v>
      </c>
      <c r="T58" s="32">
        <f>169697-33648.2</f>
        <v>136048.79999999999</v>
      </c>
      <c r="U58" s="32"/>
      <c r="V58" s="33">
        <f t="shared" si="45"/>
        <v>0.28199999999999997</v>
      </c>
    </row>
    <row r="59" spans="1:101" ht="56.25" customHeight="1">
      <c r="A59" s="23"/>
      <c r="B59" s="40" t="s">
        <v>268</v>
      </c>
      <c r="C59" s="34" t="s">
        <v>273</v>
      </c>
      <c r="D59" s="35" t="s">
        <v>146</v>
      </c>
      <c r="E59" s="34" t="s">
        <v>263</v>
      </c>
      <c r="F59" s="27">
        <f t="shared" ref="F59:F62" si="80">G59+H59+I59</f>
        <v>0</v>
      </c>
      <c r="G59" s="78">
        <v>0</v>
      </c>
      <c r="H59" s="78">
        <v>0</v>
      </c>
      <c r="I59" s="78"/>
      <c r="J59" s="27">
        <f t="shared" si="73"/>
        <v>0</v>
      </c>
      <c r="K59" s="78"/>
      <c r="L59" s="78"/>
      <c r="M59" s="78"/>
      <c r="N59" s="27">
        <f t="shared" si="74"/>
        <v>39933.4</v>
      </c>
      <c r="O59" s="78">
        <f>6061.8-4373.7</f>
        <v>1688.1</v>
      </c>
      <c r="P59" s="32">
        <f>137335-99089.7</f>
        <v>38245.300000000003</v>
      </c>
      <c r="Q59" s="32"/>
      <c r="R59" s="27">
        <f t="shared" si="75"/>
        <v>103463.4</v>
      </c>
      <c r="S59" s="32">
        <v>4373.7</v>
      </c>
      <c r="T59" s="32">
        <v>99089.7</v>
      </c>
      <c r="U59" s="32"/>
      <c r="V59" s="33" t="e">
        <f t="shared" si="45"/>
        <v>#DIV/0!</v>
      </c>
    </row>
    <row r="60" spans="1:101" ht="69" customHeight="1">
      <c r="A60" s="23"/>
      <c r="B60" s="40" t="s">
        <v>269</v>
      </c>
      <c r="C60" s="34" t="s">
        <v>257</v>
      </c>
      <c r="D60" s="35" t="s">
        <v>17</v>
      </c>
      <c r="E60" s="34" t="s">
        <v>264</v>
      </c>
      <c r="F60" s="27">
        <f t="shared" si="80"/>
        <v>57569</v>
      </c>
      <c r="G60" s="78">
        <v>2433.6</v>
      </c>
      <c r="H60" s="78">
        <v>55135.4</v>
      </c>
      <c r="I60" s="78"/>
      <c r="J60" s="27">
        <f t="shared" si="73"/>
        <v>52131.7</v>
      </c>
      <c r="K60" s="78">
        <v>2203.8000000000002</v>
      </c>
      <c r="L60" s="78">
        <v>49927.9</v>
      </c>
      <c r="M60" s="78"/>
      <c r="N60" s="27">
        <f t="shared" si="74"/>
        <v>26908.1</v>
      </c>
      <c r="O60" s="78">
        <v>1137.5</v>
      </c>
      <c r="P60" s="32">
        <v>25770.6</v>
      </c>
      <c r="Q60" s="32"/>
      <c r="R60" s="27">
        <f t="shared" si="75"/>
        <v>28509.1</v>
      </c>
      <c r="S60" s="32">
        <v>1205.2</v>
      </c>
      <c r="T60" s="32">
        <v>27303.9</v>
      </c>
      <c r="U60" s="32"/>
      <c r="V60" s="33">
        <f t="shared" si="45"/>
        <v>0.90600000000000003</v>
      </c>
    </row>
    <row r="61" spans="1:101" ht="125.25" customHeight="1">
      <c r="A61" s="23"/>
      <c r="B61" s="40" t="s">
        <v>270</v>
      </c>
      <c r="C61" s="34" t="s">
        <v>257</v>
      </c>
      <c r="D61" s="35" t="s">
        <v>17</v>
      </c>
      <c r="E61" s="34" t="s">
        <v>265</v>
      </c>
      <c r="F61" s="27">
        <f t="shared" si="80"/>
        <v>167057.1</v>
      </c>
      <c r="G61" s="78">
        <v>7062.1</v>
      </c>
      <c r="H61" s="78">
        <v>159995</v>
      </c>
      <c r="I61" s="78"/>
      <c r="J61" s="27">
        <f t="shared" si="73"/>
        <v>20923.599999999999</v>
      </c>
      <c r="K61" s="78">
        <v>884.5</v>
      </c>
      <c r="L61" s="78">
        <v>20039.099999999999</v>
      </c>
      <c r="M61" s="78"/>
      <c r="N61" s="27">
        <f t="shared" si="74"/>
        <v>153197.6</v>
      </c>
      <c r="O61" s="78">
        <f>6476.1+0.1</f>
        <v>6476.2</v>
      </c>
      <c r="P61" s="32">
        <v>146721.4</v>
      </c>
      <c r="Q61" s="32"/>
      <c r="R61" s="27">
        <f t="shared" si="75"/>
        <v>0</v>
      </c>
      <c r="S61" s="32">
        <v>0</v>
      </c>
      <c r="T61" s="32">
        <v>0</v>
      </c>
      <c r="U61" s="32"/>
      <c r="V61" s="33">
        <f t="shared" si="45"/>
        <v>0.125</v>
      </c>
    </row>
    <row r="62" spans="1:101" ht="138.75" customHeight="1">
      <c r="A62" s="23"/>
      <c r="B62" s="40" t="s">
        <v>271</v>
      </c>
      <c r="C62" s="34" t="s">
        <v>257</v>
      </c>
      <c r="D62" s="35" t="s">
        <v>17</v>
      </c>
      <c r="E62" s="34" t="s">
        <v>266</v>
      </c>
      <c r="F62" s="27">
        <f t="shared" si="80"/>
        <v>159025.29999999999</v>
      </c>
      <c r="G62" s="78">
        <v>6722.5</v>
      </c>
      <c r="H62" s="78">
        <v>152302.79999999999</v>
      </c>
      <c r="I62" s="78"/>
      <c r="J62" s="27">
        <f t="shared" si="73"/>
        <v>46529.599999999999</v>
      </c>
      <c r="K62" s="78">
        <v>1967</v>
      </c>
      <c r="L62" s="78">
        <v>44562.6</v>
      </c>
      <c r="M62" s="78"/>
      <c r="N62" s="27">
        <f t="shared" si="74"/>
        <v>0</v>
      </c>
      <c r="O62" s="78">
        <v>0</v>
      </c>
      <c r="P62" s="32">
        <v>0</v>
      </c>
      <c r="Q62" s="32"/>
      <c r="R62" s="27">
        <f t="shared" si="75"/>
        <v>0</v>
      </c>
      <c r="S62" s="32">
        <v>0</v>
      </c>
      <c r="T62" s="32">
        <v>0</v>
      </c>
      <c r="U62" s="32"/>
      <c r="V62" s="33">
        <f t="shared" si="45"/>
        <v>0.29299999999999998</v>
      </c>
    </row>
    <row r="63" spans="1:101" ht="77.25" customHeight="1">
      <c r="A63" s="23"/>
      <c r="B63" s="40" t="s">
        <v>346</v>
      </c>
      <c r="C63" s="34">
        <v>811</v>
      </c>
      <c r="D63" s="35" t="s">
        <v>17</v>
      </c>
      <c r="E63" s="34" t="s">
        <v>345</v>
      </c>
      <c r="F63" s="27">
        <f t="shared" ref="F63:F65" si="81">G63+H63+I63</f>
        <v>50000</v>
      </c>
      <c r="G63" s="78">
        <v>2113.6999999999998</v>
      </c>
      <c r="H63" s="78">
        <v>47886.34</v>
      </c>
      <c r="I63" s="78"/>
      <c r="J63" s="27">
        <f t="shared" ref="J63:J65" si="82">K63+L63+M63</f>
        <v>0</v>
      </c>
      <c r="K63" s="78"/>
      <c r="L63" s="78"/>
      <c r="M63" s="78"/>
      <c r="N63" s="27">
        <f t="shared" ref="N63:N65" si="83">O63+P63+Q63</f>
        <v>0</v>
      </c>
      <c r="O63" s="78">
        <v>0</v>
      </c>
      <c r="P63" s="32">
        <v>0</v>
      </c>
      <c r="Q63" s="32"/>
      <c r="R63" s="27">
        <f t="shared" ref="R63:R65" si="84">S63+T63+U63</f>
        <v>0</v>
      </c>
      <c r="S63" s="32">
        <v>0</v>
      </c>
      <c r="T63" s="32">
        <v>0</v>
      </c>
      <c r="U63" s="32"/>
      <c r="V63" s="33">
        <f t="shared" ref="V63:V65" si="85">J63/F63</f>
        <v>0</v>
      </c>
    </row>
    <row r="64" spans="1:101" ht="77.25" customHeight="1">
      <c r="A64" s="23"/>
      <c r="B64" s="40" t="s">
        <v>374</v>
      </c>
      <c r="C64" s="34">
        <v>811</v>
      </c>
      <c r="D64" s="35" t="s">
        <v>17</v>
      </c>
      <c r="E64" s="34" t="s">
        <v>373</v>
      </c>
      <c r="F64" s="27">
        <f t="shared" si="81"/>
        <v>59801</v>
      </c>
      <c r="G64" s="78">
        <v>2528</v>
      </c>
      <c r="H64" s="78">
        <v>57273</v>
      </c>
      <c r="I64" s="78"/>
      <c r="J64" s="27">
        <f t="shared" si="82"/>
        <v>0</v>
      </c>
      <c r="K64" s="78"/>
      <c r="L64" s="78"/>
      <c r="M64" s="78"/>
      <c r="N64" s="27">
        <f t="shared" si="83"/>
        <v>0</v>
      </c>
      <c r="O64" s="78"/>
      <c r="P64" s="32"/>
      <c r="Q64" s="32"/>
      <c r="R64" s="27">
        <f t="shared" si="84"/>
        <v>0</v>
      </c>
      <c r="S64" s="32"/>
      <c r="T64" s="32"/>
      <c r="U64" s="32"/>
      <c r="V64" s="33">
        <f t="shared" si="85"/>
        <v>0</v>
      </c>
    </row>
    <row r="65" spans="1:22" ht="77.25" customHeight="1">
      <c r="A65" s="23"/>
      <c r="B65" s="40" t="s">
        <v>370</v>
      </c>
      <c r="C65" s="34" t="s">
        <v>258</v>
      </c>
      <c r="D65" s="35" t="s">
        <v>19</v>
      </c>
      <c r="E65" s="34" t="s">
        <v>369</v>
      </c>
      <c r="F65" s="27">
        <f t="shared" si="81"/>
        <v>0</v>
      </c>
      <c r="G65" s="78"/>
      <c r="H65" s="78"/>
      <c r="I65" s="78"/>
      <c r="J65" s="27">
        <f t="shared" si="82"/>
        <v>0</v>
      </c>
      <c r="K65" s="78"/>
      <c r="L65" s="78"/>
      <c r="M65" s="78"/>
      <c r="N65" s="27">
        <f t="shared" si="83"/>
        <v>0</v>
      </c>
      <c r="O65" s="78"/>
      <c r="P65" s="32"/>
      <c r="Q65" s="32"/>
      <c r="R65" s="27">
        <f t="shared" si="84"/>
        <v>0</v>
      </c>
      <c r="S65" s="32"/>
      <c r="T65" s="32"/>
      <c r="U65" s="32"/>
      <c r="V65" s="33" t="e">
        <f t="shared" si="85"/>
        <v>#DIV/0!</v>
      </c>
    </row>
    <row r="66" spans="1:22" ht="49.5" customHeight="1">
      <c r="A66" s="23"/>
      <c r="B66" s="40" t="s">
        <v>272</v>
      </c>
      <c r="C66" s="34">
        <v>811</v>
      </c>
      <c r="D66" s="35" t="s">
        <v>17</v>
      </c>
      <c r="E66" s="34" t="s">
        <v>267</v>
      </c>
      <c r="F66" s="27">
        <f>G66+H66+I66</f>
        <v>44080.3</v>
      </c>
      <c r="G66" s="78">
        <v>1863.4</v>
      </c>
      <c r="H66" s="78">
        <f>42216.9</f>
        <v>42216.9</v>
      </c>
      <c r="I66" s="78"/>
      <c r="J66" s="27">
        <f t="shared" ref="J66" si="86">K66+L66+M66</f>
        <v>2850.2</v>
      </c>
      <c r="K66" s="78">
        <v>120.5</v>
      </c>
      <c r="L66" s="78">
        <v>2729.7</v>
      </c>
      <c r="M66" s="78"/>
      <c r="N66" s="27">
        <f t="shared" ref="N66" si="87">O66+P66+Q66</f>
        <v>0</v>
      </c>
      <c r="O66" s="78"/>
      <c r="P66" s="32"/>
      <c r="Q66" s="32"/>
      <c r="R66" s="27">
        <f t="shared" ref="R66" si="88">S66+T66+U66</f>
        <v>0</v>
      </c>
      <c r="S66" s="32"/>
      <c r="T66" s="32"/>
      <c r="U66" s="32"/>
      <c r="V66" s="33">
        <f t="shared" ref="V66" si="89">J66/F66</f>
        <v>6.5000000000000002E-2</v>
      </c>
    </row>
    <row r="67" spans="1:22" ht="69" customHeight="1">
      <c r="A67" s="23"/>
      <c r="B67" s="40" t="s">
        <v>272</v>
      </c>
      <c r="C67" s="34" t="s">
        <v>258</v>
      </c>
      <c r="D67" s="35" t="s">
        <v>19</v>
      </c>
      <c r="E67" s="34" t="s">
        <v>267</v>
      </c>
      <c r="F67" s="27">
        <f>G67+H67+I67</f>
        <v>466575.8</v>
      </c>
      <c r="G67" s="78">
        <f>13717.7+8461.98+432.5-2888.5</f>
        <v>19723.7</v>
      </c>
      <c r="H67" s="78">
        <f>310783.4-42216.92+9798.8+233928.2-65441.4</f>
        <v>446852.1</v>
      </c>
      <c r="I67" s="78"/>
      <c r="J67" s="27">
        <f t="shared" si="73"/>
        <v>93822</v>
      </c>
      <c r="K67" s="78">
        <v>3966.2</v>
      </c>
      <c r="L67" s="78">
        <v>89855.8</v>
      </c>
      <c r="M67" s="78"/>
      <c r="N67" s="27">
        <f t="shared" si="74"/>
        <v>439911.2</v>
      </c>
      <c r="O67" s="78">
        <f>16140.5-432.5+2888.5</f>
        <v>18596.5</v>
      </c>
      <c r="P67" s="32">
        <f>355873.2+65441.5</f>
        <v>421314.7</v>
      </c>
      <c r="Q67" s="32"/>
      <c r="R67" s="27">
        <f t="shared" si="75"/>
        <v>532690.9</v>
      </c>
      <c r="S67" s="32">
        <f>25407.1-2888.5</f>
        <v>22518.6</v>
      </c>
      <c r="T67" s="32">
        <f>575613.8-65441.5</f>
        <v>510172.3</v>
      </c>
      <c r="U67" s="32"/>
      <c r="V67" s="33">
        <f t="shared" si="45"/>
        <v>0.20100000000000001</v>
      </c>
    </row>
    <row r="68" spans="1:22" ht="24" customHeight="1">
      <c r="A68" s="18" t="s">
        <v>44</v>
      </c>
      <c r="B68" s="19" t="s">
        <v>45</v>
      </c>
      <c r="C68" s="43" t="s">
        <v>12</v>
      </c>
      <c r="D68" s="43" t="s">
        <v>12</v>
      </c>
      <c r="E68" s="43" t="s">
        <v>12</v>
      </c>
      <c r="F68" s="44">
        <f t="shared" si="44"/>
        <v>1325881.1000000001</v>
      </c>
      <c r="G68" s="44">
        <f>G69+G85+G92+G100+G103</f>
        <v>266593.40000000002</v>
      </c>
      <c r="H68" s="44">
        <f>H69+H85+H92+H100+H103</f>
        <v>1033613.8</v>
      </c>
      <c r="I68" s="44">
        <f>I69+I85+I92+I100+I103</f>
        <v>25673.9</v>
      </c>
      <c r="J68" s="44">
        <f t="shared" si="73"/>
        <v>685087.3</v>
      </c>
      <c r="K68" s="44">
        <f>K69+K85+K92+K100+K103</f>
        <v>180881.8</v>
      </c>
      <c r="L68" s="44">
        <f t="shared" ref="L68:M68" si="90">L69+L85+L92+L100+L103</f>
        <v>503225.5</v>
      </c>
      <c r="M68" s="44">
        <f t="shared" si="90"/>
        <v>980</v>
      </c>
      <c r="N68" s="44">
        <f t="shared" si="74"/>
        <v>1119807.3</v>
      </c>
      <c r="O68" s="44">
        <f>O69+O85+O92+O100+O103</f>
        <v>544283.80000000005</v>
      </c>
      <c r="P68" s="44">
        <f t="shared" ref="P68:Q68" si="91">P69+P85+P92+P100+P103</f>
        <v>565253.19999999995</v>
      </c>
      <c r="Q68" s="44">
        <f t="shared" si="91"/>
        <v>10270.299999999999</v>
      </c>
      <c r="R68" s="44">
        <f t="shared" si="75"/>
        <v>1053173.8</v>
      </c>
      <c r="S68" s="44">
        <f>S69+S85+S92+S100+S103</f>
        <v>41075.1</v>
      </c>
      <c r="T68" s="44">
        <f t="shared" ref="T68:U68" si="92">T69+T85+T92+T100+T103</f>
        <v>1012098.7</v>
      </c>
      <c r="U68" s="44">
        <f t="shared" si="92"/>
        <v>0</v>
      </c>
      <c r="V68" s="45">
        <f t="shared" si="45"/>
        <v>0.51700000000000002</v>
      </c>
    </row>
    <row r="69" spans="1:22" ht="42.75" customHeight="1">
      <c r="A69" s="10" t="s">
        <v>46</v>
      </c>
      <c r="B69" s="47" t="s">
        <v>47</v>
      </c>
      <c r="C69" s="57" t="s">
        <v>12</v>
      </c>
      <c r="D69" s="57" t="s">
        <v>12</v>
      </c>
      <c r="E69" s="61" t="s">
        <v>12</v>
      </c>
      <c r="F69" s="27">
        <f t="shared" si="44"/>
        <v>1067358.6000000001</v>
      </c>
      <c r="G69" s="26">
        <f>SUM(G71:G84)</f>
        <v>217712.9</v>
      </c>
      <c r="H69" s="26">
        <f>SUM(H71:H84)</f>
        <v>823980.6</v>
      </c>
      <c r="I69" s="26">
        <f>SUM(I71:I84)</f>
        <v>25665.1</v>
      </c>
      <c r="J69" s="27">
        <f t="shared" si="73"/>
        <v>483359</v>
      </c>
      <c r="K69" s="26">
        <f>SUM(K71:K84)</f>
        <v>134931.70000000001</v>
      </c>
      <c r="L69" s="26">
        <f>SUM(L71:L84)</f>
        <v>347452.5</v>
      </c>
      <c r="M69" s="26">
        <f>SUM(M71:M84)</f>
        <v>974.8</v>
      </c>
      <c r="N69" s="26">
        <f>O69+P69+Q69</f>
        <v>585499.69999999995</v>
      </c>
      <c r="O69" s="26">
        <f>SUM(O71:O84)</f>
        <v>342360.8</v>
      </c>
      <c r="P69" s="27">
        <f t="shared" ref="P69" si="93">SUM(P71:P84)</f>
        <v>232868.6</v>
      </c>
      <c r="Q69" s="27">
        <f>SUM(Q71:Q84)</f>
        <v>10270.299999999999</v>
      </c>
      <c r="R69" s="27">
        <f t="shared" ref="R69" si="94">SUM(R71:R84)</f>
        <v>966508.2</v>
      </c>
      <c r="S69" s="27">
        <f>SUM(S71:S84)</f>
        <v>8709.4</v>
      </c>
      <c r="T69" s="27">
        <f>SUM(T71:T84)</f>
        <v>957798.8</v>
      </c>
      <c r="U69" s="27">
        <f>SUM(U71:U84)</f>
        <v>0</v>
      </c>
      <c r="V69" s="37">
        <f t="shared" si="45"/>
        <v>0.45300000000000001</v>
      </c>
    </row>
    <row r="70" spans="1:22" ht="18.75">
      <c r="A70" s="38"/>
      <c r="B70" s="39" t="s">
        <v>15</v>
      </c>
      <c r="C70" s="31"/>
      <c r="D70" s="31"/>
      <c r="E70" s="31"/>
      <c r="F70" s="27"/>
      <c r="G70" s="26"/>
      <c r="H70" s="26"/>
      <c r="I70" s="26"/>
      <c r="J70" s="27"/>
      <c r="K70" s="26"/>
      <c r="L70" s="26"/>
      <c r="M70" s="26"/>
      <c r="N70" s="27"/>
      <c r="O70" s="26"/>
      <c r="P70" s="27"/>
      <c r="Q70" s="27"/>
      <c r="R70" s="27"/>
      <c r="S70" s="27"/>
      <c r="T70" s="27"/>
      <c r="U70" s="27"/>
      <c r="V70" s="37"/>
    </row>
    <row r="71" spans="1:22" ht="61.5" customHeight="1">
      <c r="A71" s="38"/>
      <c r="B71" s="40" t="s">
        <v>274</v>
      </c>
      <c r="C71" s="34" t="s">
        <v>280</v>
      </c>
      <c r="D71" s="35" t="s">
        <v>48</v>
      </c>
      <c r="E71" s="58" t="s">
        <v>281</v>
      </c>
      <c r="F71" s="27">
        <f t="shared" si="44"/>
        <v>0</v>
      </c>
      <c r="G71" s="78"/>
      <c r="H71" s="78"/>
      <c r="I71" s="78"/>
      <c r="J71" s="27">
        <f t="shared" ref="J71:J85" si="95">K71+L71+M71</f>
        <v>0</v>
      </c>
      <c r="K71" s="78"/>
      <c r="L71" s="78"/>
      <c r="M71" s="78"/>
      <c r="N71" s="26">
        <f t="shared" ref="N71:N85" si="96">O71+P71+Q71</f>
        <v>50000</v>
      </c>
      <c r="O71" s="78">
        <f>59090.9-9090.9</f>
        <v>50000</v>
      </c>
      <c r="P71" s="32"/>
      <c r="Q71" s="32"/>
      <c r="R71" s="26">
        <f t="shared" ref="R71:R85" si="97">S71+T71+U71</f>
        <v>0</v>
      </c>
      <c r="S71" s="32">
        <v>0</v>
      </c>
      <c r="T71" s="32"/>
      <c r="U71" s="32"/>
      <c r="V71" s="33" t="e">
        <f t="shared" si="45"/>
        <v>#DIV/0!</v>
      </c>
    </row>
    <row r="72" spans="1:22" ht="66" customHeight="1">
      <c r="A72" s="38"/>
      <c r="B72" s="40" t="s">
        <v>251</v>
      </c>
      <c r="C72" s="34" t="s">
        <v>280</v>
      </c>
      <c r="D72" s="35" t="s">
        <v>48</v>
      </c>
      <c r="E72" s="58" t="s">
        <v>249</v>
      </c>
      <c r="F72" s="26">
        <f t="shared" si="44"/>
        <v>119150.8</v>
      </c>
      <c r="G72" s="78">
        <v>119031.6</v>
      </c>
      <c r="H72" s="78"/>
      <c r="I72" s="78">
        <v>119.2</v>
      </c>
      <c r="J72" s="26">
        <f t="shared" si="95"/>
        <v>119078.5</v>
      </c>
      <c r="K72" s="78">
        <v>119031.6</v>
      </c>
      <c r="L72" s="78"/>
      <c r="M72" s="78">
        <v>46.9</v>
      </c>
      <c r="N72" s="26">
        <f t="shared" si="96"/>
        <v>0</v>
      </c>
      <c r="O72" s="78">
        <v>0</v>
      </c>
      <c r="P72" s="32"/>
      <c r="Q72" s="32"/>
      <c r="R72" s="26">
        <f t="shared" si="97"/>
        <v>0</v>
      </c>
      <c r="S72" s="32">
        <v>0</v>
      </c>
      <c r="T72" s="32"/>
      <c r="U72" s="32"/>
      <c r="V72" s="33">
        <f t="shared" si="45"/>
        <v>0.999</v>
      </c>
    </row>
    <row r="73" spans="1:22" ht="66" customHeight="1">
      <c r="A73" s="38"/>
      <c r="B73" s="40" t="s">
        <v>351</v>
      </c>
      <c r="C73" s="34" t="s">
        <v>258</v>
      </c>
      <c r="D73" s="35" t="s">
        <v>19</v>
      </c>
      <c r="E73" s="58" t="s">
        <v>350</v>
      </c>
      <c r="F73" s="26">
        <f t="shared" ref="F73" si="98">G73+H73+I73</f>
        <v>44170.8</v>
      </c>
      <c r="G73" s="78">
        <v>32173.5</v>
      </c>
      <c r="H73" s="78"/>
      <c r="I73" s="78">
        <v>11997.3</v>
      </c>
      <c r="J73" s="26">
        <f t="shared" ref="J73" si="99">K73+L73+M73</f>
        <v>0</v>
      </c>
      <c r="K73" s="78"/>
      <c r="L73" s="78"/>
      <c r="M73" s="78"/>
      <c r="N73" s="26">
        <f t="shared" ref="N73" si="100">O73+P73+Q73</f>
        <v>0</v>
      </c>
      <c r="O73" s="78"/>
      <c r="P73" s="32"/>
      <c r="Q73" s="32"/>
      <c r="R73" s="26">
        <f t="shared" ref="R73" si="101">S73+T73+U73</f>
        <v>0</v>
      </c>
      <c r="S73" s="32"/>
      <c r="T73" s="32"/>
      <c r="U73" s="32"/>
      <c r="V73" s="33">
        <f t="shared" ref="V73" si="102">J73/F73</f>
        <v>0</v>
      </c>
    </row>
    <row r="74" spans="1:22" ht="81" customHeight="1">
      <c r="A74" s="38"/>
      <c r="B74" s="40" t="s">
        <v>223</v>
      </c>
      <c r="C74" s="34" t="s">
        <v>280</v>
      </c>
      <c r="D74" s="35" t="s">
        <v>48</v>
      </c>
      <c r="E74" s="58" t="s">
        <v>132</v>
      </c>
      <c r="F74" s="26">
        <f t="shared" si="44"/>
        <v>33556.5</v>
      </c>
      <c r="G74" s="78">
        <v>5129.3</v>
      </c>
      <c r="H74" s="78">
        <v>28427.200000000001</v>
      </c>
      <c r="I74" s="78"/>
      <c r="J74" s="26">
        <f t="shared" si="95"/>
        <v>33506.6</v>
      </c>
      <c r="K74" s="78">
        <v>5079.3999999999996</v>
      </c>
      <c r="L74" s="78">
        <v>28427.200000000001</v>
      </c>
      <c r="M74" s="78"/>
      <c r="N74" s="26">
        <f t="shared" si="96"/>
        <v>41948.7</v>
      </c>
      <c r="O74" s="78">
        <v>5433.9</v>
      </c>
      <c r="P74" s="32">
        <v>36514.800000000003</v>
      </c>
      <c r="Q74" s="32"/>
      <c r="R74" s="26">
        <f t="shared" si="97"/>
        <v>35804.6</v>
      </c>
      <c r="S74" s="32">
        <v>5249.6</v>
      </c>
      <c r="T74" s="32">
        <v>30555</v>
      </c>
      <c r="U74" s="32"/>
      <c r="V74" s="33">
        <f t="shared" si="45"/>
        <v>0.999</v>
      </c>
    </row>
    <row r="75" spans="1:22" ht="53.25" customHeight="1">
      <c r="A75" s="38"/>
      <c r="B75" s="40" t="s">
        <v>275</v>
      </c>
      <c r="C75" s="34" t="s">
        <v>280</v>
      </c>
      <c r="D75" s="35" t="s">
        <v>48</v>
      </c>
      <c r="E75" s="58" t="s">
        <v>282</v>
      </c>
      <c r="F75" s="26">
        <f t="shared" ref="F75:F76" si="103">G75+H75+I75</f>
        <v>0</v>
      </c>
      <c r="G75" s="78">
        <v>0</v>
      </c>
      <c r="H75" s="78">
        <v>0</v>
      </c>
      <c r="I75" s="78"/>
      <c r="J75" s="26">
        <f t="shared" ref="J75:J76" si="104">K75+L75+M75</f>
        <v>0</v>
      </c>
      <c r="K75" s="78"/>
      <c r="L75" s="78"/>
      <c r="M75" s="78"/>
      <c r="N75" s="26">
        <f t="shared" ref="N75:N76" si="105">O75+P75+Q75</f>
        <v>0</v>
      </c>
      <c r="O75" s="78">
        <v>0</v>
      </c>
      <c r="P75" s="32">
        <v>0</v>
      </c>
      <c r="Q75" s="32"/>
      <c r="R75" s="26">
        <f t="shared" ref="R75:R76" si="106">S75+T75+U75</f>
        <v>63326.6</v>
      </c>
      <c r="S75" s="32">
        <v>1899.8</v>
      </c>
      <c r="T75" s="32">
        <v>61426.8</v>
      </c>
      <c r="U75" s="32"/>
      <c r="V75" s="33" t="e">
        <f t="shared" ref="V75:V76" si="107">J75/F75</f>
        <v>#DIV/0!</v>
      </c>
    </row>
    <row r="76" spans="1:22" ht="72.75" customHeight="1">
      <c r="A76" s="38"/>
      <c r="B76" s="40" t="s">
        <v>133</v>
      </c>
      <c r="C76" s="34" t="s">
        <v>280</v>
      </c>
      <c r="D76" s="35" t="s">
        <v>48</v>
      </c>
      <c r="E76" s="58" t="s">
        <v>134</v>
      </c>
      <c r="F76" s="26">
        <f t="shared" si="103"/>
        <v>15870.6</v>
      </c>
      <c r="G76" s="78">
        <v>476.1</v>
      </c>
      <c r="H76" s="78">
        <v>15394.5</v>
      </c>
      <c r="I76" s="78"/>
      <c r="J76" s="26">
        <f t="shared" si="104"/>
        <v>15870.6</v>
      </c>
      <c r="K76" s="78">
        <v>476.1</v>
      </c>
      <c r="L76" s="78">
        <v>15394.5</v>
      </c>
      <c r="M76" s="78"/>
      <c r="N76" s="26">
        <f t="shared" si="105"/>
        <v>32216.799999999999</v>
      </c>
      <c r="O76" s="78">
        <v>10548</v>
      </c>
      <c r="P76" s="32">
        <v>21668.799999999999</v>
      </c>
      <c r="Q76" s="32"/>
      <c r="R76" s="26">
        <f t="shared" si="106"/>
        <v>0</v>
      </c>
      <c r="S76" s="32">
        <v>0</v>
      </c>
      <c r="T76" s="32"/>
      <c r="U76" s="32"/>
      <c r="V76" s="33">
        <f t="shared" si="107"/>
        <v>1</v>
      </c>
    </row>
    <row r="77" spans="1:22" ht="72.75" customHeight="1">
      <c r="A77" s="38"/>
      <c r="B77" s="40" t="s">
        <v>334</v>
      </c>
      <c r="C77" s="34" t="s">
        <v>258</v>
      </c>
      <c r="D77" s="35" t="s">
        <v>19</v>
      </c>
      <c r="E77" s="58" t="s">
        <v>235</v>
      </c>
      <c r="F77" s="26">
        <f t="shared" si="44"/>
        <v>8555.2000000000007</v>
      </c>
      <c r="G77" s="78">
        <v>5.2</v>
      </c>
      <c r="H77" s="78"/>
      <c r="I77" s="78">
        <v>8550</v>
      </c>
      <c r="J77" s="26">
        <f t="shared" si="95"/>
        <v>619.79999999999995</v>
      </c>
      <c r="K77" s="78">
        <v>5.2</v>
      </c>
      <c r="L77" s="78"/>
      <c r="M77" s="78">
        <v>614.6</v>
      </c>
      <c r="N77" s="26">
        <f t="shared" si="96"/>
        <v>10000</v>
      </c>
      <c r="O77" s="78">
        <v>0</v>
      </c>
      <c r="P77" s="32"/>
      <c r="Q77" s="32">
        <v>10000</v>
      </c>
      <c r="R77" s="26">
        <f t="shared" si="97"/>
        <v>0</v>
      </c>
      <c r="S77" s="32">
        <v>0</v>
      </c>
      <c r="T77" s="32"/>
      <c r="U77" s="32"/>
      <c r="V77" s="33">
        <f>J77/F77</f>
        <v>7.1999999999999995E-2</v>
      </c>
    </row>
    <row r="78" spans="1:22" ht="90.75" customHeight="1">
      <c r="A78" s="38"/>
      <c r="B78" s="40" t="s">
        <v>338</v>
      </c>
      <c r="C78" s="34" t="s">
        <v>280</v>
      </c>
      <c r="D78" s="35" t="s">
        <v>48</v>
      </c>
      <c r="E78" s="58" t="s">
        <v>337</v>
      </c>
      <c r="F78" s="26">
        <f t="shared" ref="F78" si="108">G78+H78+I78</f>
        <v>0</v>
      </c>
      <c r="G78" s="78"/>
      <c r="H78" s="78"/>
      <c r="I78" s="78"/>
      <c r="J78" s="26">
        <f t="shared" ref="J78" si="109">K78+L78+M78</f>
        <v>0</v>
      </c>
      <c r="K78" s="78"/>
      <c r="L78" s="78"/>
      <c r="M78" s="78"/>
      <c r="N78" s="26">
        <f t="shared" ref="N78" si="110">O78+P78+Q78</f>
        <v>14000</v>
      </c>
      <c r="O78" s="78">
        <v>1820</v>
      </c>
      <c r="P78" s="32">
        <v>12180</v>
      </c>
      <c r="Q78" s="32"/>
      <c r="R78" s="26">
        <f t="shared" ref="R78" si="111">S78+T78+U78</f>
        <v>12000</v>
      </c>
      <c r="S78" s="32">
        <v>1560</v>
      </c>
      <c r="T78" s="32">
        <v>10440</v>
      </c>
      <c r="U78" s="32"/>
      <c r="V78" s="33" t="e">
        <f>J78/F78</f>
        <v>#DIV/0!</v>
      </c>
    </row>
    <row r="79" spans="1:22" ht="67.5" customHeight="1">
      <c r="A79" s="38"/>
      <c r="B79" s="40" t="s">
        <v>252</v>
      </c>
      <c r="C79" s="34" t="s">
        <v>258</v>
      </c>
      <c r="D79" s="35" t="s">
        <v>19</v>
      </c>
      <c r="E79" s="58" t="s">
        <v>250</v>
      </c>
      <c r="F79" s="26">
        <f t="shared" si="44"/>
        <v>493148.8</v>
      </c>
      <c r="G79" s="78">
        <v>14779.7</v>
      </c>
      <c r="H79" s="78">
        <v>477876</v>
      </c>
      <c r="I79" s="78">
        <v>493.1</v>
      </c>
      <c r="J79" s="26">
        <f t="shared" si="95"/>
        <v>313334.7</v>
      </c>
      <c r="K79" s="78">
        <v>9390.6</v>
      </c>
      <c r="L79" s="78">
        <v>303630.8</v>
      </c>
      <c r="M79" s="78">
        <v>313.3</v>
      </c>
      <c r="N79" s="26">
        <f t="shared" si="96"/>
        <v>131987.9</v>
      </c>
      <c r="O79" s="78">
        <v>0</v>
      </c>
      <c r="P79" s="32">
        <v>131987.9</v>
      </c>
      <c r="Q79" s="32"/>
      <c r="R79" s="26">
        <f t="shared" si="97"/>
        <v>855377</v>
      </c>
      <c r="S79" s="32">
        <v>0</v>
      </c>
      <c r="T79" s="32">
        <v>855377</v>
      </c>
      <c r="U79" s="32"/>
      <c r="V79" s="33">
        <f>J79/F79</f>
        <v>0.63500000000000001</v>
      </c>
    </row>
    <row r="80" spans="1:22" ht="69.75" customHeight="1">
      <c r="A80" s="38"/>
      <c r="B80" s="40" t="s">
        <v>276</v>
      </c>
      <c r="C80" s="34" t="s">
        <v>258</v>
      </c>
      <c r="D80" s="91" t="s">
        <v>19</v>
      </c>
      <c r="E80" s="58" t="s">
        <v>283</v>
      </c>
      <c r="F80" s="26">
        <f t="shared" si="44"/>
        <v>5.5</v>
      </c>
      <c r="G80" s="78">
        <v>0</v>
      </c>
      <c r="H80" s="78"/>
      <c r="I80" s="78">
        <v>5.5</v>
      </c>
      <c r="J80" s="26">
        <f t="shared" si="95"/>
        <v>0</v>
      </c>
      <c r="K80" s="78"/>
      <c r="L80" s="78"/>
      <c r="M80" s="78"/>
      <c r="N80" s="26">
        <f t="shared" si="96"/>
        <v>270269.2</v>
      </c>
      <c r="O80" s="78">
        <v>269998.90000000002</v>
      </c>
      <c r="P80" s="32"/>
      <c r="Q80" s="32">
        <v>270.3</v>
      </c>
      <c r="R80" s="26">
        <f t="shared" si="97"/>
        <v>0</v>
      </c>
      <c r="S80" s="32">
        <v>0</v>
      </c>
      <c r="T80" s="32"/>
      <c r="U80" s="32"/>
      <c r="V80" s="33">
        <f t="shared" si="45"/>
        <v>0</v>
      </c>
    </row>
    <row r="81" spans="1:22" ht="64.5" customHeight="1">
      <c r="A81" s="38"/>
      <c r="B81" s="40" t="s">
        <v>277</v>
      </c>
      <c r="C81" s="34" t="s">
        <v>258</v>
      </c>
      <c r="D81" s="35" t="s">
        <v>19</v>
      </c>
      <c r="E81" s="58" t="s">
        <v>135</v>
      </c>
      <c r="F81" s="26">
        <f t="shared" ref="F81:F82" si="112">G81+H81+I81</f>
        <v>4500</v>
      </c>
      <c r="G81" s="78">
        <f>45168.7-45168.7</f>
        <v>0</v>
      </c>
      <c r="H81" s="78"/>
      <c r="I81" s="78">
        <v>4500</v>
      </c>
      <c r="J81" s="26">
        <f t="shared" ref="J81" si="113">K81+L81+M81</f>
        <v>0</v>
      </c>
      <c r="K81" s="78"/>
      <c r="L81" s="78"/>
      <c r="M81" s="78"/>
      <c r="N81" s="26">
        <f t="shared" ref="N81:N82" si="114">O81+P81+Q81</f>
        <v>35077.1</v>
      </c>
      <c r="O81" s="78">
        <v>4560</v>
      </c>
      <c r="P81" s="32">
        <v>30517.1</v>
      </c>
      <c r="Q81" s="32"/>
      <c r="R81" s="26">
        <f t="shared" ref="R81:R82" si="115">S81+T81+U81</f>
        <v>0</v>
      </c>
      <c r="S81" s="32">
        <v>0</v>
      </c>
      <c r="T81" s="32">
        <v>0</v>
      </c>
      <c r="U81" s="32"/>
      <c r="V81" s="33">
        <f t="shared" ref="V81:V82" si="116">J81/F81</f>
        <v>0</v>
      </c>
    </row>
    <row r="82" spans="1:22" ht="51.75" customHeight="1">
      <c r="A82" s="38"/>
      <c r="B82" s="40" t="s">
        <v>277</v>
      </c>
      <c r="C82" s="34" t="s">
        <v>280</v>
      </c>
      <c r="D82" s="35" t="s">
        <v>48</v>
      </c>
      <c r="E82" s="58" t="s">
        <v>135</v>
      </c>
      <c r="F82" s="26">
        <f t="shared" si="112"/>
        <v>347451.6</v>
      </c>
      <c r="G82" s="78">
        <v>45168.7</v>
      </c>
      <c r="H82" s="78">
        <v>302282.90000000002</v>
      </c>
      <c r="I82" s="78"/>
      <c r="J82" s="26"/>
      <c r="K82" s="78"/>
      <c r="L82" s="78" t="s">
        <v>366</v>
      </c>
      <c r="M82" s="78"/>
      <c r="N82" s="26">
        <f t="shared" si="114"/>
        <v>0</v>
      </c>
      <c r="O82" s="78"/>
      <c r="P82" s="32"/>
      <c r="Q82" s="32"/>
      <c r="R82" s="26">
        <f t="shared" si="115"/>
        <v>0</v>
      </c>
      <c r="S82" s="32"/>
      <c r="T82" s="32"/>
      <c r="U82" s="32"/>
      <c r="V82" s="33">
        <f t="shared" si="116"/>
        <v>0</v>
      </c>
    </row>
    <row r="83" spans="1:22" ht="58.5" customHeight="1">
      <c r="A83" s="38"/>
      <c r="B83" s="40" t="s">
        <v>278</v>
      </c>
      <c r="C83" s="34" t="s">
        <v>280</v>
      </c>
      <c r="D83" s="35" t="s">
        <v>48</v>
      </c>
      <c r="E83" s="58" t="s">
        <v>284</v>
      </c>
      <c r="F83" s="26">
        <f t="shared" ref="F83" si="117">G83+H83+I83</f>
        <v>0</v>
      </c>
      <c r="G83" s="78">
        <f>22384.2-22384.2</f>
        <v>0</v>
      </c>
      <c r="H83" s="78"/>
      <c r="I83" s="78"/>
      <c r="J83" s="26">
        <f t="shared" ref="J83" si="118">K83+L83+M83</f>
        <v>0</v>
      </c>
      <c r="K83" s="78"/>
      <c r="L83" s="78"/>
      <c r="M83" s="78"/>
      <c r="N83" s="26">
        <f t="shared" ref="N83" si="119">O83+P83+Q83</f>
        <v>0</v>
      </c>
      <c r="O83" s="78">
        <f>91106.8-91106.8</f>
        <v>0</v>
      </c>
      <c r="P83" s="32"/>
      <c r="Q83" s="32"/>
      <c r="R83" s="26">
        <f t="shared" ref="R83" si="120">S83+T83+U83</f>
        <v>0</v>
      </c>
      <c r="S83" s="32">
        <f>50012.8-50012.8</f>
        <v>0</v>
      </c>
      <c r="T83" s="32"/>
      <c r="U83" s="32"/>
      <c r="V83" s="33" t="e">
        <f t="shared" ref="V83" si="121">J83/F83</f>
        <v>#DIV/0!</v>
      </c>
    </row>
    <row r="84" spans="1:22" ht="108.75" customHeight="1">
      <c r="A84" s="38"/>
      <c r="B84" s="40" t="s">
        <v>279</v>
      </c>
      <c r="C84" s="34" t="s">
        <v>280</v>
      </c>
      <c r="D84" s="35" t="s">
        <v>48</v>
      </c>
      <c r="E84" s="58" t="s">
        <v>285</v>
      </c>
      <c r="F84" s="27">
        <f t="shared" ref="F84" si="122">G84+H84+I84</f>
        <v>948.8</v>
      </c>
      <c r="G84" s="78">
        <v>948.8</v>
      </c>
      <c r="H84" s="78"/>
      <c r="I84" s="78"/>
      <c r="J84" s="27">
        <f t="shared" ref="J84" si="123">K84+L84+M84</f>
        <v>948.8</v>
      </c>
      <c r="K84" s="78">
        <v>948.8</v>
      </c>
      <c r="L84" s="78"/>
      <c r="M84" s="78"/>
      <c r="N84" s="26">
        <f t="shared" ref="N84" si="124">O84+P84+Q84</f>
        <v>0</v>
      </c>
      <c r="O84" s="78">
        <v>0</v>
      </c>
      <c r="P84" s="32"/>
      <c r="Q84" s="32"/>
      <c r="R84" s="26">
        <f t="shared" ref="R84" si="125">S84+T84+U84</f>
        <v>0</v>
      </c>
      <c r="S84" s="32">
        <v>0</v>
      </c>
      <c r="T84" s="32"/>
      <c r="U84" s="32"/>
      <c r="V84" s="33">
        <f t="shared" ref="V84" si="126">J84/F84</f>
        <v>1</v>
      </c>
    </row>
    <row r="85" spans="1:22" ht="34.5" customHeight="1">
      <c r="A85" s="23" t="s">
        <v>49</v>
      </c>
      <c r="B85" s="24" t="s">
        <v>55</v>
      </c>
      <c r="C85" s="25" t="s">
        <v>12</v>
      </c>
      <c r="D85" s="25" t="s">
        <v>12</v>
      </c>
      <c r="E85" s="25" t="s">
        <v>12</v>
      </c>
      <c r="F85" s="27">
        <f t="shared" si="44"/>
        <v>16110.5</v>
      </c>
      <c r="G85" s="26">
        <f>SUM(G87:G91)</f>
        <v>7584.4</v>
      </c>
      <c r="H85" s="26">
        <f>SUM(H87:H91)</f>
        <v>8517.2999999999993</v>
      </c>
      <c r="I85" s="26">
        <f>SUM(I87:I91)</f>
        <v>8.8000000000000007</v>
      </c>
      <c r="J85" s="27">
        <f t="shared" si="95"/>
        <v>12547.1</v>
      </c>
      <c r="K85" s="26">
        <f>SUM(K87:K91)</f>
        <v>7477.6</v>
      </c>
      <c r="L85" s="26">
        <f>SUM(L87:L91)</f>
        <v>5064.3</v>
      </c>
      <c r="M85" s="26">
        <f>SUM(M87:M91)</f>
        <v>5.2</v>
      </c>
      <c r="N85" s="26">
        <f t="shared" si="96"/>
        <v>350372.1</v>
      </c>
      <c r="O85" s="26">
        <f>SUM(O87:O91)</f>
        <v>150785.70000000001</v>
      </c>
      <c r="P85" s="27">
        <f>SUM(P87:P91)</f>
        <v>199586.4</v>
      </c>
      <c r="Q85" s="27">
        <f>SUM(Q87:Q91)</f>
        <v>0</v>
      </c>
      <c r="R85" s="26">
        <f t="shared" si="97"/>
        <v>16746.5</v>
      </c>
      <c r="S85" s="27">
        <f>SUM(S87:S91)</f>
        <v>502.4</v>
      </c>
      <c r="T85" s="27">
        <f>SUM(T87:T91)</f>
        <v>16244.1</v>
      </c>
      <c r="U85" s="27">
        <f>SUM(U87:U91)</f>
        <v>0</v>
      </c>
      <c r="V85" s="28">
        <f t="shared" si="45"/>
        <v>0.77900000000000003</v>
      </c>
    </row>
    <row r="86" spans="1:22" ht="18.75">
      <c r="A86" s="38"/>
      <c r="B86" s="39" t="s">
        <v>15</v>
      </c>
      <c r="C86" s="31"/>
      <c r="D86" s="31"/>
      <c r="E86" s="31"/>
      <c r="F86" s="27"/>
      <c r="G86" s="26"/>
      <c r="H86" s="26"/>
      <c r="I86" s="26"/>
      <c r="J86" s="27"/>
      <c r="K86" s="26"/>
      <c r="L86" s="26"/>
      <c r="M86" s="26"/>
      <c r="N86" s="26"/>
      <c r="O86" s="26"/>
      <c r="P86" s="27"/>
      <c r="Q86" s="27"/>
      <c r="R86" s="26"/>
      <c r="S86" s="27"/>
      <c r="T86" s="27"/>
      <c r="U86" s="27"/>
      <c r="V86" s="28"/>
    </row>
    <row r="87" spans="1:22" ht="69.75" customHeight="1">
      <c r="A87" s="38"/>
      <c r="B87" s="40" t="s">
        <v>136</v>
      </c>
      <c r="C87" s="34" t="s">
        <v>258</v>
      </c>
      <c r="D87" s="35" t="s">
        <v>19</v>
      </c>
      <c r="E87" s="58" t="s">
        <v>137</v>
      </c>
      <c r="F87" s="27">
        <f t="shared" si="44"/>
        <v>8789.5</v>
      </c>
      <c r="G87" s="78">
        <v>263.39999999999998</v>
      </c>
      <c r="H87" s="78">
        <v>8517.2999999999993</v>
      </c>
      <c r="I87" s="78">
        <v>8.8000000000000007</v>
      </c>
      <c r="J87" s="27">
        <f t="shared" ref="J87:J92" si="127">K87+L87+M87</f>
        <v>5226.1000000000004</v>
      </c>
      <c r="K87" s="78">
        <v>156.6</v>
      </c>
      <c r="L87" s="78">
        <v>5064.3</v>
      </c>
      <c r="M87" s="78">
        <v>5.2</v>
      </c>
      <c r="N87" s="26">
        <f t="shared" ref="N87:N92" si="128">O87+P87+Q87</f>
        <v>8614.2999999999993</v>
      </c>
      <c r="O87" s="78">
        <v>258.39999999999998</v>
      </c>
      <c r="P87" s="32">
        <v>8355.9</v>
      </c>
      <c r="Q87" s="32"/>
      <c r="R87" s="26">
        <f t="shared" ref="R87:R92" si="129">S87+T87+U87</f>
        <v>9732.6</v>
      </c>
      <c r="S87" s="32">
        <v>292</v>
      </c>
      <c r="T87" s="32">
        <v>9440.6</v>
      </c>
      <c r="U87" s="32"/>
      <c r="V87" s="33">
        <f t="shared" si="45"/>
        <v>0.59499999999999997</v>
      </c>
    </row>
    <row r="88" spans="1:22" ht="57" customHeight="1">
      <c r="A88" s="38"/>
      <c r="B88" s="40" t="s">
        <v>56</v>
      </c>
      <c r="C88" s="34" t="s">
        <v>280</v>
      </c>
      <c r="D88" s="35" t="s">
        <v>48</v>
      </c>
      <c r="E88" s="58" t="s">
        <v>174</v>
      </c>
      <c r="F88" s="27">
        <f t="shared" si="44"/>
        <v>0</v>
      </c>
      <c r="G88" s="78">
        <v>0</v>
      </c>
      <c r="H88" s="78"/>
      <c r="I88" s="78"/>
      <c r="J88" s="27">
        <f t="shared" si="127"/>
        <v>0</v>
      </c>
      <c r="K88" s="78"/>
      <c r="L88" s="78"/>
      <c r="M88" s="78"/>
      <c r="N88" s="26">
        <f t="shared" si="128"/>
        <v>341757.8</v>
      </c>
      <c r="O88" s="78">
        <v>150527.29999999999</v>
      </c>
      <c r="P88" s="32">
        <v>191230.5</v>
      </c>
      <c r="Q88" s="32"/>
      <c r="R88" s="26">
        <f t="shared" si="129"/>
        <v>0</v>
      </c>
      <c r="S88" s="32">
        <v>0</v>
      </c>
      <c r="T88" s="32"/>
      <c r="U88" s="32"/>
      <c r="V88" s="33" t="e">
        <f t="shared" si="45"/>
        <v>#DIV/0!</v>
      </c>
    </row>
    <row r="89" spans="1:22" ht="60" customHeight="1">
      <c r="A89" s="38"/>
      <c r="B89" s="40" t="s">
        <v>139</v>
      </c>
      <c r="C89" s="34" t="s">
        <v>280</v>
      </c>
      <c r="D89" s="35" t="s">
        <v>48</v>
      </c>
      <c r="E89" s="58" t="s">
        <v>138</v>
      </c>
      <c r="F89" s="27">
        <f t="shared" si="44"/>
        <v>0</v>
      </c>
      <c r="G89" s="78">
        <v>0</v>
      </c>
      <c r="H89" s="78"/>
      <c r="I89" s="78"/>
      <c r="J89" s="26">
        <f t="shared" si="127"/>
        <v>0</v>
      </c>
      <c r="K89" s="78"/>
      <c r="L89" s="78"/>
      <c r="M89" s="78"/>
      <c r="N89" s="26">
        <f t="shared" si="128"/>
        <v>0</v>
      </c>
      <c r="O89" s="78">
        <v>0</v>
      </c>
      <c r="P89" s="32"/>
      <c r="Q89" s="32"/>
      <c r="R89" s="26">
        <f t="shared" si="129"/>
        <v>7013.9</v>
      </c>
      <c r="S89" s="32">
        <v>210.4</v>
      </c>
      <c r="T89" s="32">
        <v>6803.5</v>
      </c>
      <c r="U89" s="32"/>
      <c r="V89" s="33" t="e">
        <f t="shared" si="45"/>
        <v>#DIV/0!</v>
      </c>
    </row>
    <row r="90" spans="1:22" ht="55.5" customHeight="1">
      <c r="A90" s="38"/>
      <c r="B90" s="40" t="s">
        <v>57</v>
      </c>
      <c r="C90" s="34" t="s">
        <v>280</v>
      </c>
      <c r="D90" s="35" t="s">
        <v>48</v>
      </c>
      <c r="E90" s="58" t="s">
        <v>185</v>
      </c>
      <c r="F90" s="27">
        <f t="shared" si="44"/>
        <v>4000</v>
      </c>
      <c r="G90" s="78">
        <v>4000</v>
      </c>
      <c r="H90" s="78"/>
      <c r="I90" s="78"/>
      <c r="J90" s="26">
        <f t="shared" si="127"/>
        <v>4000</v>
      </c>
      <c r="K90" s="78">
        <v>4000</v>
      </c>
      <c r="L90" s="78"/>
      <c r="M90" s="78"/>
      <c r="N90" s="26">
        <f t="shared" si="128"/>
        <v>0</v>
      </c>
      <c r="O90" s="78">
        <v>0</v>
      </c>
      <c r="P90" s="32"/>
      <c r="Q90" s="32"/>
      <c r="R90" s="26">
        <f t="shared" si="129"/>
        <v>0</v>
      </c>
      <c r="S90" s="32">
        <v>0</v>
      </c>
      <c r="T90" s="32"/>
      <c r="U90" s="32"/>
      <c r="V90" s="33">
        <f t="shared" si="45"/>
        <v>1</v>
      </c>
    </row>
    <row r="91" spans="1:22" ht="60.75" customHeight="1">
      <c r="A91" s="38"/>
      <c r="B91" s="40" t="s">
        <v>332</v>
      </c>
      <c r="C91" s="34" t="s">
        <v>280</v>
      </c>
      <c r="D91" s="35" t="s">
        <v>48</v>
      </c>
      <c r="E91" s="38" t="s">
        <v>186</v>
      </c>
      <c r="F91" s="27">
        <f t="shared" si="44"/>
        <v>3321</v>
      </c>
      <c r="G91" s="78">
        <v>3321</v>
      </c>
      <c r="H91" s="78"/>
      <c r="I91" s="78"/>
      <c r="J91" s="27">
        <f t="shared" si="127"/>
        <v>3321</v>
      </c>
      <c r="K91" s="78">
        <v>3321</v>
      </c>
      <c r="L91" s="78"/>
      <c r="M91" s="78"/>
      <c r="N91" s="26">
        <f t="shared" si="128"/>
        <v>0</v>
      </c>
      <c r="O91" s="78">
        <v>0</v>
      </c>
      <c r="P91" s="32"/>
      <c r="Q91" s="32"/>
      <c r="R91" s="26">
        <f t="shared" si="129"/>
        <v>0</v>
      </c>
      <c r="S91" s="32">
        <v>0</v>
      </c>
      <c r="T91" s="32"/>
      <c r="U91" s="32"/>
      <c r="V91" s="33">
        <f t="shared" si="45"/>
        <v>1</v>
      </c>
    </row>
    <row r="92" spans="1:22" ht="46.5" customHeight="1">
      <c r="A92" s="23" t="s">
        <v>54</v>
      </c>
      <c r="B92" s="47" t="s">
        <v>50</v>
      </c>
      <c r="C92" s="25" t="s">
        <v>12</v>
      </c>
      <c r="D92" s="25" t="s">
        <v>12</v>
      </c>
      <c r="E92" s="25" t="s">
        <v>12</v>
      </c>
      <c r="F92" s="27">
        <f t="shared" si="44"/>
        <v>127278.1</v>
      </c>
      <c r="G92" s="26">
        <f>SUM(G94:G99)</f>
        <v>36449</v>
      </c>
      <c r="H92" s="26">
        <f>SUM(H94:H99)</f>
        <v>90829.1</v>
      </c>
      <c r="I92" s="26">
        <f>SUM(I94:I99)</f>
        <v>0</v>
      </c>
      <c r="J92" s="27">
        <f t="shared" si="127"/>
        <v>127278.1</v>
      </c>
      <c r="K92" s="26">
        <f>SUM(K94:K99)</f>
        <v>36449</v>
      </c>
      <c r="L92" s="26">
        <f>SUM(L94:L99)</f>
        <v>90829.1</v>
      </c>
      <c r="M92" s="26">
        <f>SUM(M94:M99)</f>
        <v>0</v>
      </c>
      <c r="N92" s="26">
        <f t="shared" si="128"/>
        <v>156583.9</v>
      </c>
      <c r="O92" s="26">
        <f>SUM(O94:O99)</f>
        <v>50316.800000000003</v>
      </c>
      <c r="P92" s="27">
        <f>SUM(P94:P99)</f>
        <v>106267.1</v>
      </c>
      <c r="Q92" s="27">
        <f>SUM(Q94:Q99)</f>
        <v>0</v>
      </c>
      <c r="R92" s="26">
        <f t="shared" si="129"/>
        <v>43457</v>
      </c>
      <c r="S92" s="27">
        <f>SUM(S94:S99)</f>
        <v>31069.4</v>
      </c>
      <c r="T92" s="27">
        <f>SUM(T94:T99)</f>
        <v>12387.6</v>
      </c>
      <c r="U92" s="27">
        <f>SUM(U94:U99)</f>
        <v>0</v>
      </c>
      <c r="V92" s="28">
        <f t="shared" si="45"/>
        <v>1</v>
      </c>
    </row>
    <row r="93" spans="1:22" ht="18.75">
      <c r="A93" s="38"/>
      <c r="B93" s="39" t="s">
        <v>15</v>
      </c>
      <c r="C93" s="31"/>
      <c r="D93" s="31"/>
      <c r="E93" s="31"/>
      <c r="F93" s="27"/>
      <c r="G93" s="26"/>
      <c r="H93" s="26"/>
      <c r="I93" s="26"/>
      <c r="J93" s="27"/>
      <c r="K93" s="26"/>
      <c r="L93" s="26"/>
      <c r="M93" s="26"/>
      <c r="N93" s="26"/>
      <c r="O93" s="26"/>
      <c r="P93" s="27"/>
      <c r="Q93" s="27"/>
      <c r="R93" s="26"/>
      <c r="S93" s="27"/>
      <c r="T93" s="27"/>
      <c r="U93" s="27"/>
      <c r="V93" s="28"/>
    </row>
    <row r="94" spans="1:22" ht="61.5" customHeight="1">
      <c r="A94" s="38"/>
      <c r="B94" s="40" t="s">
        <v>187</v>
      </c>
      <c r="C94" s="34" t="s">
        <v>280</v>
      </c>
      <c r="D94" s="35" t="s">
        <v>48</v>
      </c>
      <c r="E94" s="58" t="s">
        <v>188</v>
      </c>
      <c r="F94" s="27">
        <f t="shared" si="44"/>
        <v>29506</v>
      </c>
      <c r="G94" s="78">
        <v>29506</v>
      </c>
      <c r="H94" s="78"/>
      <c r="I94" s="78"/>
      <c r="J94" s="27">
        <f t="shared" ref="J94:J100" si="130">K94+L94+M94</f>
        <v>29506</v>
      </c>
      <c r="K94" s="78">
        <v>29506</v>
      </c>
      <c r="L94" s="78"/>
      <c r="M94" s="78"/>
      <c r="N94" s="26">
        <f t="shared" ref="N94:N100" si="131">O94+P94+Q94</f>
        <v>41501.9</v>
      </c>
      <c r="O94" s="78">
        <v>41501.9</v>
      </c>
      <c r="P94" s="32"/>
      <c r="Q94" s="32"/>
      <c r="R94" s="26">
        <f t="shared" ref="R94:R100" si="132">S94+T94+U94</f>
        <v>25786.3</v>
      </c>
      <c r="S94" s="32">
        <v>25786.3</v>
      </c>
      <c r="T94" s="32"/>
      <c r="U94" s="32"/>
      <c r="V94" s="33">
        <f t="shared" si="45"/>
        <v>1</v>
      </c>
    </row>
    <row r="95" spans="1:22" ht="60.75" customHeight="1">
      <c r="A95" s="38"/>
      <c r="B95" s="40" t="s">
        <v>224</v>
      </c>
      <c r="C95" s="34" t="s">
        <v>280</v>
      </c>
      <c r="D95" s="35" t="s">
        <v>48</v>
      </c>
      <c r="E95" s="58" t="s">
        <v>140</v>
      </c>
      <c r="F95" s="27">
        <f t="shared" si="44"/>
        <v>63693.5</v>
      </c>
      <c r="G95" s="78">
        <v>1910.8</v>
      </c>
      <c r="H95" s="78">
        <v>61782.7</v>
      </c>
      <c r="I95" s="78"/>
      <c r="J95" s="26">
        <f t="shared" si="130"/>
        <v>63693.5</v>
      </c>
      <c r="K95" s="78">
        <v>1910.8</v>
      </c>
      <c r="L95" s="78">
        <v>61782.7</v>
      </c>
      <c r="M95" s="78"/>
      <c r="N95" s="26">
        <f t="shared" si="131"/>
        <v>96453.6</v>
      </c>
      <c r="O95" s="78">
        <v>2893.6</v>
      </c>
      <c r="P95" s="32">
        <v>93560</v>
      </c>
      <c r="Q95" s="32"/>
      <c r="R95" s="26">
        <f t="shared" si="132"/>
        <v>12770.7</v>
      </c>
      <c r="S95" s="32">
        <v>383.1</v>
      </c>
      <c r="T95" s="32">
        <v>12387.6</v>
      </c>
      <c r="U95" s="32"/>
      <c r="V95" s="33">
        <f t="shared" si="45"/>
        <v>1</v>
      </c>
    </row>
    <row r="96" spans="1:22" ht="68.25" customHeight="1">
      <c r="A96" s="38"/>
      <c r="B96" s="40" t="s">
        <v>224</v>
      </c>
      <c r="C96" s="34" t="s">
        <v>286</v>
      </c>
      <c r="D96" s="35" t="s">
        <v>51</v>
      </c>
      <c r="E96" s="58" t="s">
        <v>140</v>
      </c>
      <c r="F96" s="27">
        <f t="shared" si="44"/>
        <v>12501.2</v>
      </c>
      <c r="G96" s="78">
        <v>375</v>
      </c>
      <c r="H96" s="78">
        <v>12126.2</v>
      </c>
      <c r="I96" s="78"/>
      <c r="J96" s="26">
        <f t="shared" si="130"/>
        <v>12501.2</v>
      </c>
      <c r="K96" s="78">
        <f>3.3+371.7</f>
        <v>375</v>
      </c>
      <c r="L96" s="78">
        <f>107.6+12018.6</f>
        <v>12126.2</v>
      </c>
      <c r="M96" s="78"/>
      <c r="N96" s="26">
        <f t="shared" si="131"/>
        <v>13100.1</v>
      </c>
      <c r="O96" s="78">
        <v>393</v>
      </c>
      <c r="P96" s="32">
        <v>12707.1</v>
      </c>
      <c r="Q96" s="32"/>
      <c r="R96" s="26">
        <f t="shared" si="132"/>
        <v>0</v>
      </c>
      <c r="S96" s="32">
        <v>0</v>
      </c>
      <c r="T96" s="32"/>
      <c r="U96" s="32"/>
      <c r="V96" s="33">
        <f t="shared" si="45"/>
        <v>1</v>
      </c>
    </row>
    <row r="97" spans="1:22" ht="50.25" customHeight="1">
      <c r="A97" s="38"/>
      <c r="B97" s="40" t="s">
        <v>53</v>
      </c>
      <c r="C97" s="34" t="s">
        <v>286</v>
      </c>
      <c r="D97" s="35" t="s">
        <v>51</v>
      </c>
      <c r="E97" s="38" t="s">
        <v>176</v>
      </c>
      <c r="F97" s="27">
        <f t="shared" si="44"/>
        <v>3561.2</v>
      </c>
      <c r="G97" s="78">
        <f>3605.13-43.9</f>
        <v>3561.2</v>
      </c>
      <c r="H97" s="78"/>
      <c r="I97" s="78"/>
      <c r="J97" s="26">
        <f t="shared" si="130"/>
        <v>3561.2</v>
      </c>
      <c r="K97" s="78">
        <f>2582.9+978.3</f>
        <v>3561.2</v>
      </c>
      <c r="L97" s="78"/>
      <c r="M97" s="78"/>
      <c r="N97" s="26">
        <f t="shared" si="131"/>
        <v>4325.8999999999996</v>
      </c>
      <c r="O97" s="78">
        <v>4325.8999999999996</v>
      </c>
      <c r="P97" s="32"/>
      <c r="Q97" s="32"/>
      <c r="R97" s="26">
        <f t="shared" si="132"/>
        <v>4390.5</v>
      </c>
      <c r="S97" s="32">
        <v>4390.5</v>
      </c>
      <c r="T97" s="32"/>
      <c r="U97" s="32"/>
      <c r="V97" s="33">
        <f t="shared" si="45"/>
        <v>1</v>
      </c>
    </row>
    <row r="98" spans="1:22" ht="55.5" customHeight="1">
      <c r="A98" s="38"/>
      <c r="B98" s="40" t="s">
        <v>52</v>
      </c>
      <c r="C98" s="34" t="s">
        <v>280</v>
      </c>
      <c r="D98" s="35" t="s">
        <v>48</v>
      </c>
      <c r="E98" s="38" t="s">
        <v>173</v>
      </c>
      <c r="F98" s="27">
        <f t="shared" si="44"/>
        <v>572.70000000000005</v>
      </c>
      <c r="G98" s="78">
        <v>572.70000000000005</v>
      </c>
      <c r="H98" s="78"/>
      <c r="I98" s="78"/>
      <c r="J98" s="26">
        <f t="shared" si="130"/>
        <v>572.70000000000005</v>
      </c>
      <c r="K98" s="78">
        <v>572.70000000000005</v>
      </c>
      <c r="L98" s="78"/>
      <c r="M98" s="78"/>
      <c r="N98" s="26">
        <f t="shared" si="131"/>
        <v>1202.4000000000001</v>
      </c>
      <c r="O98" s="78">
        <v>1202.4000000000001</v>
      </c>
      <c r="P98" s="32"/>
      <c r="Q98" s="32"/>
      <c r="R98" s="26">
        <f t="shared" si="132"/>
        <v>509.5</v>
      </c>
      <c r="S98" s="32">
        <v>509.5</v>
      </c>
      <c r="T98" s="32"/>
      <c r="U98" s="32"/>
      <c r="V98" s="33">
        <f t="shared" si="45"/>
        <v>1</v>
      </c>
    </row>
    <row r="99" spans="1:22" ht="51" customHeight="1">
      <c r="A99" s="38"/>
      <c r="B99" s="40" t="s">
        <v>141</v>
      </c>
      <c r="C99" s="34" t="s">
        <v>280</v>
      </c>
      <c r="D99" s="35" t="s">
        <v>48</v>
      </c>
      <c r="E99" s="38" t="s">
        <v>142</v>
      </c>
      <c r="F99" s="27">
        <f t="shared" si="44"/>
        <v>17443.5</v>
      </c>
      <c r="G99" s="78">
        <v>523.29999999999995</v>
      </c>
      <c r="H99" s="78">
        <v>16920.2</v>
      </c>
      <c r="I99" s="78"/>
      <c r="J99" s="27">
        <f t="shared" si="130"/>
        <v>17443.5</v>
      </c>
      <c r="K99" s="78">
        <v>523.29999999999995</v>
      </c>
      <c r="L99" s="78">
        <v>16920.2</v>
      </c>
      <c r="M99" s="78"/>
      <c r="N99" s="26">
        <f t="shared" si="131"/>
        <v>0</v>
      </c>
      <c r="O99" s="78">
        <v>0</v>
      </c>
      <c r="P99" s="32"/>
      <c r="Q99" s="32"/>
      <c r="R99" s="26">
        <f t="shared" si="132"/>
        <v>0</v>
      </c>
      <c r="S99" s="32">
        <v>0</v>
      </c>
      <c r="T99" s="32"/>
      <c r="U99" s="32"/>
      <c r="V99" s="33">
        <f t="shared" si="45"/>
        <v>1</v>
      </c>
    </row>
    <row r="100" spans="1:22" ht="57" customHeight="1">
      <c r="A100" s="23" t="s">
        <v>58</v>
      </c>
      <c r="B100" s="47" t="s">
        <v>59</v>
      </c>
      <c r="C100" s="25" t="s">
        <v>12</v>
      </c>
      <c r="D100" s="25" t="s">
        <v>12</v>
      </c>
      <c r="E100" s="25" t="s">
        <v>12</v>
      </c>
      <c r="F100" s="27">
        <f t="shared" si="44"/>
        <v>58779.8</v>
      </c>
      <c r="G100" s="26">
        <f>SUM(G102:G102)</f>
        <v>1763.4</v>
      </c>
      <c r="H100" s="26">
        <f>SUM(H102:H102)</f>
        <v>57016.4</v>
      </c>
      <c r="I100" s="26">
        <f>SUM(I102:I102)</f>
        <v>0</v>
      </c>
      <c r="J100" s="27">
        <f t="shared" si="130"/>
        <v>46777.3</v>
      </c>
      <c r="K100" s="26">
        <f>SUM(K102:K102)</f>
        <v>1403.3</v>
      </c>
      <c r="L100" s="26">
        <f>SUM(L102:L102)</f>
        <v>45374</v>
      </c>
      <c r="M100" s="26">
        <f>SUM(M102:M102)</f>
        <v>0</v>
      </c>
      <c r="N100" s="26">
        <f t="shared" si="131"/>
        <v>27351.599999999999</v>
      </c>
      <c r="O100" s="26">
        <f>SUM(O102:O102)</f>
        <v>820.5</v>
      </c>
      <c r="P100" s="27">
        <f>SUM(P102:P102)</f>
        <v>26531.1</v>
      </c>
      <c r="Q100" s="27">
        <f>SUM(Q102:Q102)</f>
        <v>0</v>
      </c>
      <c r="R100" s="26">
        <f t="shared" si="132"/>
        <v>26462.1</v>
      </c>
      <c r="S100" s="27">
        <f>SUM(S102:S102)</f>
        <v>793.9</v>
      </c>
      <c r="T100" s="27">
        <f>SUM(T102:T102)</f>
        <v>25668.2</v>
      </c>
      <c r="U100" s="27">
        <f>SUM(U102:U102)</f>
        <v>0</v>
      </c>
      <c r="V100" s="28">
        <f t="shared" si="45"/>
        <v>0.79600000000000004</v>
      </c>
    </row>
    <row r="101" spans="1:22" ht="18.75">
      <c r="A101" s="38"/>
      <c r="B101" s="39" t="s">
        <v>15</v>
      </c>
      <c r="C101" s="31"/>
      <c r="D101" s="31"/>
      <c r="E101" s="31"/>
      <c r="F101" s="27"/>
      <c r="G101" s="26"/>
      <c r="H101" s="26"/>
      <c r="I101" s="26"/>
      <c r="J101" s="27"/>
      <c r="K101" s="26"/>
      <c r="L101" s="26"/>
      <c r="M101" s="26"/>
      <c r="N101" s="26"/>
      <c r="O101" s="26"/>
      <c r="P101" s="27"/>
      <c r="Q101" s="27"/>
      <c r="R101" s="26"/>
      <c r="S101" s="27"/>
      <c r="T101" s="27"/>
      <c r="U101" s="27"/>
      <c r="V101" s="28"/>
    </row>
    <row r="102" spans="1:22" ht="66" customHeight="1">
      <c r="A102" s="38"/>
      <c r="B102" s="40" t="s">
        <v>287</v>
      </c>
      <c r="C102" s="34" t="s">
        <v>286</v>
      </c>
      <c r="D102" s="35" t="s">
        <v>51</v>
      </c>
      <c r="E102" s="34" t="s">
        <v>288</v>
      </c>
      <c r="F102" s="27">
        <f t="shared" si="44"/>
        <v>58779.8</v>
      </c>
      <c r="G102" s="78">
        <v>1763.4</v>
      </c>
      <c r="H102" s="78">
        <v>57016.4</v>
      </c>
      <c r="I102" s="78"/>
      <c r="J102" s="27">
        <f t="shared" ref="J102:J105" si="133">K102+L102+M102</f>
        <v>46777.3</v>
      </c>
      <c r="K102" s="78">
        <v>1403.3</v>
      </c>
      <c r="L102" s="78">
        <v>45374</v>
      </c>
      <c r="M102" s="78"/>
      <c r="N102" s="26">
        <f>O102+P102+Q102</f>
        <v>27351.599999999999</v>
      </c>
      <c r="O102" s="78">
        <v>820.5</v>
      </c>
      <c r="P102" s="32">
        <v>26531.1</v>
      </c>
      <c r="Q102" s="32"/>
      <c r="R102" s="26">
        <f t="shared" ref="R102:R105" si="134">S102+T102+U102</f>
        <v>26462.1</v>
      </c>
      <c r="S102" s="32">
        <v>793.9</v>
      </c>
      <c r="T102" s="32">
        <v>25668.2</v>
      </c>
      <c r="U102" s="32"/>
      <c r="V102" s="28">
        <f t="shared" si="45"/>
        <v>0.79600000000000004</v>
      </c>
    </row>
    <row r="103" spans="1:22" ht="46.5" customHeight="1">
      <c r="A103" s="23" t="s">
        <v>358</v>
      </c>
      <c r="B103" s="47" t="s">
        <v>357</v>
      </c>
      <c r="C103" s="25" t="s">
        <v>12</v>
      </c>
      <c r="D103" s="25" t="s">
        <v>12</v>
      </c>
      <c r="E103" s="25" t="s">
        <v>12</v>
      </c>
      <c r="F103" s="27">
        <f>G103+H103+I103</f>
        <v>56354.1</v>
      </c>
      <c r="G103" s="78">
        <f>G107+G105+G106</f>
        <v>3083.7</v>
      </c>
      <c r="H103" s="78">
        <f>H107+H105+H106</f>
        <v>53270.400000000001</v>
      </c>
      <c r="I103" s="78">
        <f>I107+I105+I106</f>
        <v>0</v>
      </c>
      <c r="J103" s="27">
        <f t="shared" si="133"/>
        <v>15125.8</v>
      </c>
      <c r="K103" s="78">
        <f>K107+K105+K106</f>
        <v>620.20000000000005</v>
      </c>
      <c r="L103" s="32">
        <f>L107+L105+L106</f>
        <v>14505.6</v>
      </c>
      <c r="M103" s="32">
        <f>M107+M105+M106</f>
        <v>0</v>
      </c>
      <c r="N103" s="78">
        <f t="shared" ref="N103" si="135">N107+N105</f>
        <v>0</v>
      </c>
      <c r="O103" s="78">
        <f>O107+O105+O106</f>
        <v>0</v>
      </c>
      <c r="P103" s="32">
        <f>P107+P105+P106</f>
        <v>0</v>
      </c>
      <c r="Q103" s="32">
        <f>Q107+Q105+Q106</f>
        <v>0</v>
      </c>
      <c r="R103" s="26">
        <f>S103+T103+U103</f>
        <v>0</v>
      </c>
      <c r="S103" s="32">
        <f>S105+S107++S106</f>
        <v>0</v>
      </c>
      <c r="T103" s="32">
        <f>T105+T107++T106</f>
        <v>0</v>
      </c>
      <c r="U103" s="32">
        <f>U105+U107++U106</f>
        <v>0</v>
      </c>
      <c r="V103" s="28">
        <f t="shared" si="45"/>
        <v>0.26800000000000002</v>
      </c>
    </row>
    <row r="104" spans="1:22" ht="19.5" customHeight="1">
      <c r="A104" s="38"/>
      <c r="B104" s="39" t="s">
        <v>15</v>
      </c>
      <c r="C104" s="34"/>
      <c r="D104" s="35"/>
      <c r="E104" s="34"/>
      <c r="F104" s="27"/>
      <c r="G104" s="78"/>
      <c r="H104" s="78"/>
      <c r="I104" s="78"/>
      <c r="J104" s="27"/>
      <c r="K104" s="78"/>
      <c r="L104" s="78"/>
      <c r="M104" s="78"/>
      <c r="N104" s="26"/>
      <c r="O104" s="78"/>
      <c r="P104" s="32"/>
      <c r="Q104" s="32"/>
      <c r="R104" s="26"/>
      <c r="S104" s="32"/>
      <c r="T104" s="32"/>
      <c r="U104" s="32"/>
      <c r="V104" s="28"/>
    </row>
    <row r="105" spans="1:22" ht="84" customHeight="1">
      <c r="A105" s="38"/>
      <c r="B105" s="112" t="s">
        <v>383</v>
      </c>
      <c r="C105" s="34">
        <v>815</v>
      </c>
      <c r="D105" s="91" t="s">
        <v>48</v>
      </c>
      <c r="E105" s="34" t="s">
        <v>382</v>
      </c>
      <c r="F105" s="27">
        <f t="shared" si="44"/>
        <v>775.3</v>
      </c>
      <c r="G105" s="78">
        <v>775.3</v>
      </c>
      <c r="H105" s="78"/>
      <c r="I105" s="78"/>
      <c r="J105" s="27">
        <f t="shared" si="133"/>
        <v>0</v>
      </c>
      <c r="K105" s="78"/>
      <c r="L105" s="78"/>
      <c r="M105" s="78"/>
      <c r="N105" s="26">
        <f>O105+P105+Q105</f>
        <v>0</v>
      </c>
      <c r="O105" s="78"/>
      <c r="P105" s="32"/>
      <c r="Q105" s="32"/>
      <c r="R105" s="26">
        <f t="shared" si="134"/>
        <v>0</v>
      </c>
      <c r="S105" s="32"/>
      <c r="T105" s="32"/>
      <c r="U105" s="32"/>
      <c r="V105" s="28">
        <f>J105/F105</f>
        <v>0</v>
      </c>
    </row>
    <row r="106" spans="1:22" ht="84" customHeight="1">
      <c r="A106" s="38"/>
      <c r="B106" s="113" t="s">
        <v>383</v>
      </c>
      <c r="C106" s="34" t="s">
        <v>280</v>
      </c>
      <c r="D106" s="91" t="s">
        <v>48</v>
      </c>
      <c r="E106" s="34" t="s">
        <v>389</v>
      </c>
      <c r="F106" s="27">
        <f>G106+H106+I106</f>
        <v>25065.4</v>
      </c>
      <c r="G106" s="78"/>
      <c r="H106" s="78">
        <v>25065.4</v>
      </c>
      <c r="I106" s="78"/>
      <c r="J106" s="27">
        <f>K106+L106+M106</f>
        <v>0</v>
      </c>
      <c r="K106" s="78"/>
      <c r="L106" s="78"/>
      <c r="M106" s="78"/>
      <c r="N106" s="26">
        <f>O106+P106+Q106</f>
        <v>0</v>
      </c>
      <c r="O106" s="78"/>
      <c r="P106" s="32"/>
      <c r="Q106" s="32"/>
      <c r="R106" s="26">
        <f>S106+T106+U106</f>
        <v>0</v>
      </c>
      <c r="S106" s="32"/>
      <c r="T106" s="32"/>
      <c r="U106" s="32"/>
      <c r="V106" s="28">
        <f>J106/F106</f>
        <v>0</v>
      </c>
    </row>
    <row r="107" spans="1:22" ht="84" customHeight="1">
      <c r="A107" s="38"/>
      <c r="B107" s="40" t="s">
        <v>359</v>
      </c>
      <c r="C107" s="34">
        <v>815</v>
      </c>
      <c r="D107" s="91" t="s">
        <v>48</v>
      </c>
      <c r="E107" s="34" t="s">
        <v>360</v>
      </c>
      <c r="F107" s="27">
        <f>G107+H107+I107</f>
        <v>30513.4</v>
      </c>
      <c r="G107" s="78">
        <v>2308.4</v>
      </c>
      <c r="H107" s="78">
        <v>28205</v>
      </c>
      <c r="I107" s="78">
        <v>0</v>
      </c>
      <c r="J107" s="27">
        <f>K107+L107+M107</f>
        <v>15125.8</v>
      </c>
      <c r="K107" s="78">
        <v>620.20000000000005</v>
      </c>
      <c r="L107" s="78">
        <v>14505.6</v>
      </c>
      <c r="M107" s="78"/>
      <c r="N107" s="26">
        <f>O107+P107+Q107</f>
        <v>0</v>
      </c>
      <c r="O107" s="78"/>
      <c r="P107" s="32"/>
      <c r="Q107" s="32"/>
      <c r="R107" s="26">
        <f>S107+T107+U107</f>
        <v>0</v>
      </c>
      <c r="S107" s="32"/>
      <c r="T107" s="32"/>
      <c r="U107" s="32"/>
      <c r="V107" s="28">
        <f t="shared" si="45"/>
        <v>0.496</v>
      </c>
    </row>
    <row r="108" spans="1:22" ht="28.5" customHeight="1">
      <c r="A108" s="18" t="s">
        <v>60</v>
      </c>
      <c r="B108" s="59" t="s">
        <v>61</v>
      </c>
      <c r="C108" s="20" t="s">
        <v>12</v>
      </c>
      <c r="D108" s="20" t="s">
        <v>12</v>
      </c>
      <c r="E108" s="20" t="s">
        <v>12</v>
      </c>
      <c r="F108" s="44">
        <f t="shared" ref="F108:F134" si="136">G108+H108+I108</f>
        <v>9517.7000000000007</v>
      </c>
      <c r="G108" s="44">
        <f>G109+G114</f>
        <v>2005.9</v>
      </c>
      <c r="H108" s="44">
        <f t="shared" ref="H108" si="137">H109+H114</f>
        <v>7511.8</v>
      </c>
      <c r="I108" s="44">
        <f>I109+I114</f>
        <v>0</v>
      </c>
      <c r="J108" s="44">
        <f t="shared" ref="J108:J109" si="138">K108+L108+M108</f>
        <v>9517.7000000000007</v>
      </c>
      <c r="K108" s="44">
        <f>K109+K114</f>
        <v>2005.9</v>
      </c>
      <c r="L108" s="44">
        <f t="shared" ref="L108:M108" si="139">L109+L114</f>
        <v>7511.8</v>
      </c>
      <c r="M108" s="44">
        <f t="shared" si="139"/>
        <v>0</v>
      </c>
      <c r="N108" s="44">
        <f t="shared" ref="N108:N109" si="140">O108+P108+Q108</f>
        <v>65202.400000000001</v>
      </c>
      <c r="O108" s="44">
        <f>O109+O114</f>
        <v>3828.8</v>
      </c>
      <c r="P108" s="44">
        <f t="shared" ref="P108:Q108" si="141">P109+P114</f>
        <v>61373.599999999999</v>
      </c>
      <c r="Q108" s="44">
        <f t="shared" si="141"/>
        <v>0</v>
      </c>
      <c r="R108" s="44">
        <f t="shared" ref="R108:R109" si="142">S108+T108+U108</f>
        <v>259397.1</v>
      </c>
      <c r="S108" s="44">
        <f>S109+S114</f>
        <v>9654.6</v>
      </c>
      <c r="T108" s="44">
        <f t="shared" ref="T108:U108" si="143">T109+T114</f>
        <v>249742.5</v>
      </c>
      <c r="U108" s="44">
        <f t="shared" si="143"/>
        <v>0</v>
      </c>
      <c r="V108" s="45">
        <f t="shared" si="45"/>
        <v>1</v>
      </c>
    </row>
    <row r="109" spans="1:22" ht="37.5" customHeight="1">
      <c r="A109" s="10" t="s">
        <v>62</v>
      </c>
      <c r="B109" s="24" t="s">
        <v>66</v>
      </c>
      <c r="C109" s="36" t="s">
        <v>12</v>
      </c>
      <c r="D109" s="36" t="s">
        <v>12</v>
      </c>
      <c r="E109" s="25" t="s">
        <v>12</v>
      </c>
      <c r="F109" s="27">
        <f t="shared" si="136"/>
        <v>7587.7</v>
      </c>
      <c r="G109" s="26">
        <f>SUM(G110:G113)</f>
        <v>75.900000000000006</v>
      </c>
      <c r="H109" s="26">
        <f>SUM(H110:H113)</f>
        <v>7511.8</v>
      </c>
      <c r="I109" s="26">
        <f>SUM(I110:I113)</f>
        <v>0</v>
      </c>
      <c r="J109" s="27">
        <f t="shared" si="138"/>
        <v>7587.7</v>
      </c>
      <c r="K109" s="26">
        <f>SUM(K110:K113)</f>
        <v>75.900000000000006</v>
      </c>
      <c r="L109" s="26">
        <f>SUM(L110:L113)</f>
        <v>7511.8</v>
      </c>
      <c r="M109" s="26">
        <f>SUM(M110:M113)</f>
        <v>0</v>
      </c>
      <c r="N109" s="26">
        <f t="shared" si="140"/>
        <v>63272.4</v>
      </c>
      <c r="O109" s="26">
        <f>SUM(O111:O113)</f>
        <v>1898.8</v>
      </c>
      <c r="P109" s="27">
        <f t="shared" ref="P109:Q109" si="144">SUM(P111:P113)</f>
        <v>61373.599999999999</v>
      </c>
      <c r="Q109" s="27">
        <f t="shared" si="144"/>
        <v>0</v>
      </c>
      <c r="R109" s="26">
        <f t="shared" si="142"/>
        <v>257467.1</v>
      </c>
      <c r="S109" s="27">
        <f>SUM(S111:S113)</f>
        <v>7724.6</v>
      </c>
      <c r="T109" s="27">
        <f t="shared" ref="T109:U109" si="145">SUM(T111:T113)</f>
        <v>249742.5</v>
      </c>
      <c r="U109" s="27">
        <f t="shared" si="145"/>
        <v>0</v>
      </c>
      <c r="V109" s="37">
        <f t="shared" ref="V109:V134" si="146">J109/F109</f>
        <v>1</v>
      </c>
    </row>
    <row r="110" spans="1:22" ht="18.75">
      <c r="A110" s="23"/>
      <c r="B110" s="60" t="s">
        <v>15</v>
      </c>
      <c r="C110" s="61"/>
      <c r="D110" s="61"/>
      <c r="E110" s="61"/>
      <c r="F110" s="27"/>
      <c r="G110" s="26"/>
      <c r="H110" s="26"/>
      <c r="I110" s="26"/>
      <c r="J110" s="27"/>
      <c r="K110" s="26"/>
      <c r="L110" s="26"/>
      <c r="M110" s="26"/>
      <c r="N110" s="27"/>
      <c r="O110" s="26"/>
      <c r="P110" s="27"/>
      <c r="Q110" s="27"/>
      <c r="R110" s="27"/>
      <c r="S110" s="27"/>
      <c r="T110" s="27"/>
      <c r="U110" s="27"/>
      <c r="V110" s="37"/>
    </row>
    <row r="111" spans="1:22" ht="156" customHeight="1">
      <c r="A111" s="23"/>
      <c r="B111" s="40" t="s">
        <v>290</v>
      </c>
      <c r="C111" s="35" t="s">
        <v>280</v>
      </c>
      <c r="D111" s="35" t="s">
        <v>48</v>
      </c>
      <c r="E111" s="34" t="s">
        <v>228</v>
      </c>
      <c r="F111" s="27">
        <f t="shared" si="136"/>
        <v>0</v>
      </c>
      <c r="G111" s="26">
        <v>0</v>
      </c>
      <c r="H111" s="26"/>
      <c r="I111" s="26"/>
      <c r="J111" s="27">
        <f t="shared" ref="J111:J113" si="147">K111+L111+M111</f>
        <v>0</v>
      </c>
      <c r="K111" s="26"/>
      <c r="L111" s="26"/>
      <c r="M111" s="26"/>
      <c r="N111" s="27">
        <f t="shared" ref="N111:N113" si="148">O111+P111+Q111</f>
        <v>56053</v>
      </c>
      <c r="O111" s="78">
        <v>1681.6</v>
      </c>
      <c r="P111" s="32">
        <v>54371.4</v>
      </c>
      <c r="Q111" s="27"/>
      <c r="R111" s="27">
        <f t="shared" ref="R111:R113" si="149">S111+T111+U111</f>
        <v>250247.7</v>
      </c>
      <c r="S111" s="32">
        <v>7507.4</v>
      </c>
      <c r="T111" s="32">
        <v>242740.3</v>
      </c>
      <c r="U111" s="27"/>
      <c r="V111" s="62" t="e">
        <f t="shared" si="146"/>
        <v>#DIV/0!</v>
      </c>
    </row>
    <row r="112" spans="1:22" ht="60.75" customHeight="1">
      <c r="A112" s="23"/>
      <c r="B112" s="40" t="s">
        <v>291</v>
      </c>
      <c r="C112" s="35" t="s">
        <v>257</v>
      </c>
      <c r="D112" s="35" t="s">
        <v>17</v>
      </c>
      <c r="E112" s="34" t="s">
        <v>289</v>
      </c>
      <c r="F112" s="27">
        <f t="shared" si="136"/>
        <v>7587.7</v>
      </c>
      <c r="G112" s="26">
        <v>75.900000000000006</v>
      </c>
      <c r="H112" s="78">
        <v>7511.8</v>
      </c>
      <c r="I112" s="26"/>
      <c r="J112" s="27">
        <f t="shared" si="147"/>
        <v>7587.7</v>
      </c>
      <c r="K112" s="26">
        <v>75.900000000000006</v>
      </c>
      <c r="L112" s="26">
        <v>7511.8</v>
      </c>
      <c r="M112" s="26"/>
      <c r="N112" s="27">
        <f t="shared" si="148"/>
        <v>0</v>
      </c>
      <c r="O112" s="78">
        <v>0</v>
      </c>
      <c r="P112" s="32">
        <v>0</v>
      </c>
      <c r="Q112" s="27"/>
      <c r="R112" s="27">
        <f t="shared" si="149"/>
        <v>0</v>
      </c>
      <c r="S112" s="32">
        <v>0</v>
      </c>
      <c r="T112" s="32">
        <v>0</v>
      </c>
      <c r="U112" s="27"/>
      <c r="V112" s="62">
        <f t="shared" si="146"/>
        <v>1</v>
      </c>
    </row>
    <row r="113" spans="1:101" ht="153.75" customHeight="1">
      <c r="A113" s="23"/>
      <c r="B113" s="40" t="s">
        <v>220</v>
      </c>
      <c r="C113" s="35" t="s">
        <v>292</v>
      </c>
      <c r="D113" s="35" t="s">
        <v>230</v>
      </c>
      <c r="E113" s="34" t="s">
        <v>219</v>
      </c>
      <c r="F113" s="27">
        <f t="shared" si="136"/>
        <v>0</v>
      </c>
      <c r="G113" s="26">
        <f>1359.4-1359.4</f>
        <v>0</v>
      </c>
      <c r="H113" s="78"/>
      <c r="I113" s="26"/>
      <c r="J113" s="27">
        <f t="shared" si="147"/>
        <v>0</v>
      </c>
      <c r="K113" s="26"/>
      <c r="L113" s="26"/>
      <c r="M113" s="26"/>
      <c r="N113" s="27">
        <f t="shared" si="148"/>
        <v>7219.4</v>
      </c>
      <c r="O113" s="78">
        <v>217.2</v>
      </c>
      <c r="P113" s="32">
        <v>7002.2</v>
      </c>
      <c r="Q113" s="27"/>
      <c r="R113" s="27">
        <f t="shared" si="149"/>
        <v>7219.4</v>
      </c>
      <c r="S113" s="32">
        <v>217.2</v>
      </c>
      <c r="T113" s="32">
        <v>7002.2</v>
      </c>
      <c r="U113" s="27"/>
      <c r="V113" s="62" t="e">
        <f t="shared" si="146"/>
        <v>#DIV/0!</v>
      </c>
    </row>
    <row r="114" spans="1:101" ht="39.75" customHeight="1">
      <c r="A114" s="23" t="s">
        <v>63</v>
      </c>
      <c r="B114" s="47" t="s">
        <v>341</v>
      </c>
      <c r="C114" s="61" t="s">
        <v>12</v>
      </c>
      <c r="D114" s="61" t="s">
        <v>12</v>
      </c>
      <c r="E114" s="61" t="s">
        <v>12</v>
      </c>
      <c r="F114" s="27">
        <f t="shared" si="136"/>
        <v>1930</v>
      </c>
      <c r="G114" s="26">
        <f>SUM(G116:G116)</f>
        <v>1930</v>
      </c>
      <c r="H114" s="26">
        <f>SUM(H116:H116)</f>
        <v>0</v>
      </c>
      <c r="I114" s="26">
        <f>SUM(I116:I116)</f>
        <v>0</v>
      </c>
      <c r="J114" s="26">
        <f t="shared" ref="J114" si="150">K114+L114+M114</f>
        <v>1930</v>
      </c>
      <c r="K114" s="26">
        <f>SUM(K116:K116)</f>
        <v>1930</v>
      </c>
      <c r="L114" s="26">
        <f>SUM(L116:L116)</f>
        <v>0</v>
      </c>
      <c r="M114" s="26">
        <f>SUM(M116:M116)</f>
        <v>0</v>
      </c>
      <c r="N114" s="27">
        <f t="shared" ref="N114" si="151">O114+P114+Q114</f>
        <v>1930</v>
      </c>
      <c r="O114" s="26">
        <f>SUM(O116:O116)</f>
        <v>1930</v>
      </c>
      <c r="P114" s="27">
        <f>SUM(P116:P116)</f>
        <v>0</v>
      </c>
      <c r="Q114" s="27">
        <f>SUM(Q116:Q116)</f>
        <v>0</v>
      </c>
      <c r="R114" s="27">
        <f t="shared" ref="R114" si="152">S114+T114+U114</f>
        <v>1930</v>
      </c>
      <c r="S114" s="27">
        <f>SUM(S116)</f>
        <v>1930</v>
      </c>
      <c r="T114" s="27">
        <f t="shared" ref="T114:U114" si="153">SUM(T116)</f>
        <v>0</v>
      </c>
      <c r="U114" s="27">
        <f t="shared" si="153"/>
        <v>0</v>
      </c>
      <c r="V114" s="37">
        <f t="shared" si="146"/>
        <v>1</v>
      </c>
    </row>
    <row r="115" spans="1:101" ht="18.75">
      <c r="A115" s="38"/>
      <c r="B115" s="60" t="s">
        <v>15</v>
      </c>
      <c r="C115" s="31"/>
      <c r="D115" s="41"/>
      <c r="E115" s="63"/>
      <c r="F115" s="27"/>
      <c r="G115" s="26"/>
      <c r="H115" s="26"/>
      <c r="I115" s="26"/>
      <c r="J115" s="26"/>
      <c r="K115" s="26"/>
      <c r="L115" s="26"/>
      <c r="M115" s="26"/>
      <c r="N115" s="27"/>
      <c r="O115" s="26"/>
      <c r="P115" s="27"/>
      <c r="Q115" s="27"/>
      <c r="R115" s="27"/>
      <c r="S115" s="27"/>
      <c r="T115" s="27"/>
      <c r="U115" s="27"/>
      <c r="V115" s="37"/>
    </row>
    <row r="116" spans="1:101" ht="74.25" customHeight="1">
      <c r="A116" s="38"/>
      <c r="B116" s="40" t="s">
        <v>108</v>
      </c>
      <c r="C116" s="35" t="s">
        <v>293</v>
      </c>
      <c r="D116" s="35" t="s">
        <v>65</v>
      </c>
      <c r="E116" s="58" t="s">
        <v>163</v>
      </c>
      <c r="F116" s="27">
        <f t="shared" ref="F116" si="154">G116+H116+I116</f>
        <v>1930</v>
      </c>
      <c r="G116" s="78">
        <v>1930</v>
      </c>
      <c r="H116" s="78"/>
      <c r="I116" s="78"/>
      <c r="J116" s="26">
        <f t="shared" ref="J116" si="155">K116+L116+M116</f>
        <v>1930</v>
      </c>
      <c r="K116" s="78">
        <f>9+1921</f>
        <v>1930</v>
      </c>
      <c r="L116" s="78"/>
      <c r="M116" s="78"/>
      <c r="N116" s="27">
        <f t="shared" ref="N116" si="156">O116+P116+Q116</f>
        <v>1930</v>
      </c>
      <c r="O116" s="78">
        <v>1930</v>
      </c>
      <c r="P116" s="32"/>
      <c r="Q116" s="32"/>
      <c r="R116" s="27">
        <f t="shared" ref="R116" si="157">S116+T116+U116</f>
        <v>1930</v>
      </c>
      <c r="S116" s="32">
        <v>1930</v>
      </c>
      <c r="T116" s="32"/>
      <c r="U116" s="32"/>
      <c r="V116" s="62">
        <f t="shared" ref="V116" si="158">J116/F116</f>
        <v>1</v>
      </c>
    </row>
    <row r="117" spans="1:101" s="65" customFormat="1" ht="33.75" customHeight="1">
      <c r="A117" s="18" t="s">
        <v>67</v>
      </c>
      <c r="B117" s="59" t="s">
        <v>68</v>
      </c>
      <c r="C117" s="20" t="s">
        <v>12</v>
      </c>
      <c r="D117" s="20" t="s">
        <v>12</v>
      </c>
      <c r="E117" s="20" t="s">
        <v>12</v>
      </c>
      <c r="F117" s="44">
        <f t="shared" si="136"/>
        <v>3864267.5</v>
      </c>
      <c r="G117" s="44">
        <f>G118+G123+G128</f>
        <v>493432.4</v>
      </c>
      <c r="H117" s="44">
        <f t="shared" ref="H117" si="159">H118+H123+H128</f>
        <v>3219553.7</v>
      </c>
      <c r="I117" s="44">
        <f>I118+I123+I128</f>
        <v>151281.4</v>
      </c>
      <c r="J117" s="44">
        <f t="shared" ref="J117:J118" si="160">K117+L117+M117</f>
        <v>1012635.4</v>
      </c>
      <c r="K117" s="44">
        <f>K118+K123+K128</f>
        <v>114635.8</v>
      </c>
      <c r="L117" s="44">
        <f t="shared" ref="L117:M117" si="161">L118+L123+L128</f>
        <v>801821.9</v>
      </c>
      <c r="M117" s="44">
        <f t="shared" si="161"/>
        <v>96177.7</v>
      </c>
      <c r="N117" s="44">
        <f t="shared" ref="N117:N118" si="162">O117+P117+Q117</f>
        <v>3835908.6</v>
      </c>
      <c r="O117" s="44">
        <f>O118+O123+O128</f>
        <v>961523.8</v>
      </c>
      <c r="P117" s="44">
        <f>P118+P123+P128</f>
        <v>2808539.7</v>
      </c>
      <c r="Q117" s="44">
        <f t="shared" ref="Q117" si="163">Q118+Q123+Q128</f>
        <v>65845.100000000006</v>
      </c>
      <c r="R117" s="44">
        <f t="shared" ref="R117:R118" si="164">S117+T117+U117</f>
        <v>688396.6</v>
      </c>
      <c r="S117" s="44">
        <f>S118+S123+S128</f>
        <v>66336.800000000003</v>
      </c>
      <c r="T117" s="44">
        <f t="shared" ref="T117:U117" si="165">T118+T123+T128</f>
        <v>561814.69999999995</v>
      </c>
      <c r="U117" s="44">
        <f t="shared" si="165"/>
        <v>60245.1</v>
      </c>
      <c r="V117" s="45">
        <f t="shared" si="146"/>
        <v>0.26200000000000001</v>
      </c>
      <c r="W117" s="3"/>
      <c r="X117" s="94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</row>
    <row r="118" spans="1:101" ht="36" customHeight="1">
      <c r="A118" s="10" t="s">
        <v>69</v>
      </c>
      <c r="B118" s="24" t="s">
        <v>70</v>
      </c>
      <c r="C118" s="36" t="s">
        <v>12</v>
      </c>
      <c r="D118" s="36" t="s">
        <v>12</v>
      </c>
      <c r="E118" s="36" t="s">
        <v>12</v>
      </c>
      <c r="F118" s="27">
        <f t="shared" si="136"/>
        <v>604286</v>
      </c>
      <c r="G118" s="26">
        <f>SUM(G120:G122)</f>
        <v>11197.6</v>
      </c>
      <c r="H118" s="26">
        <f t="shared" ref="H118:I118" si="166">SUM(H120:H122)</f>
        <v>562137.9</v>
      </c>
      <c r="I118" s="26">
        <f t="shared" si="166"/>
        <v>30950.5</v>
      </c>
      <c r="J118" s="27">
        <f t="shared" si="160"/>
        <v>462521.59999999998</v>
      </c>
      <c r="K118" s="26">
        <f>SUM(K120:K122)</f>
        <v>10244.299999999999</v>
      </c>
      <c r="L118" s="26">
        <f t="shared" ref="L118:M118" si="167">SUM(L120:L122)</f>
        <v>432184.9</v>
      </c>
      <c r="M118" s="26">
        <f t="shared" si="167"/>
        <v>20092.400000000001</v>
      </c>
      <c r="N118" s="26">
        <f t="shared" si="162"/>
        <v>395081.1</v>
      </c>
      <c r="O118" s="26">
        <f>SUM(O120:O122)</f>
        <v>11197.6</v>
      </c>
      <c r="P118" s="27">
        <f t="shared" ref="P118:Q118" si="168">SUM(P120:P122)</f>
        <v>362056.5</v>
      </c>
      <c r="Q118" s="27">
        <f t="shared" si="168"/>
        <v>21827</v>
      </c>
      <c r="R118" s="26">
        <f t="shared" si="164"/>
        <v>430953.8</v>
      </c>
      <c r="S118" s="27">
        <f>SUM(S120:S122)</f>
        <v>12441.8</v>
      </c>
      <c r="T118" s="27">
        <f t="shared" ref="T118:U118" si="169">SUM(T120:T122)</f>
        <v>402285</v>
      </c>
      <c r="U118" s="27">
        <f t="shared" si="169"/>
        <v>16227</v>
      </c>
      <c r="V118" s="37">
        <f t="shared" si="146"/>
        <v>0.76500000000000001</v>
      </c>
      <c r="X118" s="17"/>
      <c r="Y118" s="17"/>
    </row>
    <row r="119" spans="1:101" ht="18.75">
      <c r="A119" s="13"/>
      <c r="B119" s="30" t="s">
        <v>15</v>
      </c>
      <c r="C119" s="56"/>
      <c r="D119" s="56"/>
      <c r="E119" s="56"/>
      <c r="F119" s="27"/>
      <c r="G119" s="26"/>
      <c r="H119" s="26"/>
      <c r="I119" s="26"/>
      <c r="J119" s="27"/>
      <c r="K119" s="26"/>
      <c r="L119" s="26"/>
      <c r="M119" s="26"/>
      <c r="N119" s="26"/>
      <c r="O119" s="26"/>
      <c r="P119" s="27"/>
      <c r="Q119" s="27"/>
      <c r="R119" s="26"/>
      <c r="S119" s="27"/>
      <c r="T119" s="27"/>
      <c r="U119" s="27"/>
      <c r="V119" s="37"/>
    </row>
    <row r="120" spans="1:101" ht="74.25" customHeight="1">
      <c r="A120" s="38"/>
      <c r="B120" s="40" t="s">
        <v>295</v>
      </c>
      <c r="C120" s="34" t="s">
        <v>258</v>
      </c>
      <c r="D120" s="35" t="s">
        <v>19</v>
      </c>
      <c r="E120" s="34" t="s">
        <v>294</v>
      </c>
      <c r="F120" s="27">
        <f t="shared" si="136"/>
        <v>143000</v>
      </c>
      <c r="G120" s="26"/>
      <c r="H120" s="26">
        <v>140000</v>
      </c>
      <c r="I120" s="26">
        <v>3000</v>
      </c>
      <c r="J120" s="27">
        <f t="shared" ref="J120:J123" si="170">K120+L120+M120</f>
        <v>86760.7</v>
      </c>
      <c r="K120" s="26"/>
      <c r="L120" s="26">
        <v>86760.7</v>
      </c>
      <c r="M120" s="26"/>
      <c r="N120" s="26">
        <f t="shared" ref="N120:N123" si="171">O120+P120+Q120</f>
        <v>0</v>
      </c>
      <c r="O120" s="26">
        <v>0</v>
      </c>
      <c r="P120" s="27">
        <v>0</v>
      </c>
      <c r="Q120" s="27"/>
      <c r="R120" s="26">
        <f t="shared" ref="R120:R123" si="172">S120+T120+U120</f>
        <v>0</v>
      </c>
      <c r="S120" s="27">
        <v>0</v>
      </c>
      <c r="T120" s="27">
        <v>0</v>
      </c>
      <c r="U120" s="27"/>
      <c r="V120" s="62">
        <f t="shared" si="146"/>
        <v>0.60699999999999998</v>
      </c>
      <c r="X120"/>
    </row>
    <row r="121" spans="1:101" ht="105.75" customHeight="1">
      <c r="A121" s="38"/>
      <c r="B121" s="40" t="s">
        <v>372</v>
      </c>
      <c r="C121" s="34" t="s">
        <v>258</v>
      </c>
      <c r="D121" s="35" t="s">
        <v>19</v>
      </c>
      <c r="E121" s="34" t="s">
        <v>371</v>
      </c>
      <c r="F121" s="27">
        <f t="shared" si="136"/>
        <v>70026</v>
      </c>
      <c r="G121" s="26"/>
      <c r="H121" s="26">
        <v>70026</v>
      </c>
      <c r="I121" s="26"/>
      <c r="J121" s="27">
        <f t="shared" si="170"/>
        <v>14190</v>
      </c>
      <c r="K121" s="26"/>
      <c r="L121" s="26">
        <v>14190</v>
      </c>
      <c r="M121" s="26"/>
      <c r="N121" s="26">
        <f t="shared" si="171"/>
        <v>0</v>
      </c>
      <c r="O121" s="26"/>
      <c r="P121" s="27"/>
      <c r="Q121" s="27"/>
      <c r="R121" s="26">
        <f t="shared" si="172"/>
        <v>0</v>
      </c>
      <c r="S121" s="27"/>
      <c r="T121" s="27"/>
      <c r="U121" s="27"/>
      <c r="V121" s="62">
        <f t="shared" si="146"/>
        <v>0.20300000000000001</v>
      </c>
      <c r="X121"/>
    </row>
    <row r="122" spans="1:101" ht="36.75" customHeight="1">
      <c r="A122" s="38"/>
      <c r="B122" s="40" t="s">
        <v>71</v>
      </c>
      <c r="C122" s="34" t="s">
        <v>258</v>
      </c>
      <c r="D122" s="35" t="s">
        <v>19</v>
      </c>
      <c r="E122" s="34" t="s">
        <v>155</v>
      </c>
      <c r="F122" s="27">
        <f t="shared" si="136"/>
        <v>391260</v>
      </c>
      <c r="G122" s="78">
        <v>11197.6</v>
      </c>
      <c r="H122" s="78">
        <v>352111.9</v>
      </c>
      <c r="I122" s="78">
        <v>27950.5</v>
      </c>
      <c r="J122" s="27">
        <f t="shared" si="170"/>
        <v>361570.9</v>
      </c>
      <c r="K122" s="78">
        <v>10244.299999999999</v>
      </c>
      <c r="L122" s="78">
        <v>331234.2</v>
      </c>
      <c r="M122" s="78">
        <v>20092.400000000001</v>
      </c>
      <c r="N122" s="26">
        <f t="shared" si="171"/>
        <v>395081.1</v>
      </c>
      <c r="O122" s="78">
        <v>11197.6</v>
      </c>
      <c r="P122" s="32">
        <v>362056.5</v>
      </c>
      <c r="Q122" s="32">
        <v>21827</v>
      </c>
      <c r="R122" s="26">
        <f t="shared" si="172"/>
        <v>430953.8</v>
      </c>
      <c r="S122" s="32">
        <v>12441.8</v>
      </c>
      <c r="T122" s="32">
        <v>402285</v>
      </c>
      <c r="U122" s="32">
        <v>16227</v>
      </c>
      <c r="V122" s="62">
        <f t="shared" si="146"/>
        <v>0.92400000000000004</v>
      </c>
      <c r="X122"/>
    </row>
    <row r="123" spans="1:101" ht="59.25" customHeight="1">
      <c r="A123" s="23" t="s">
        <v>72</v>
      </c>
      <c r="B123" s="47" t="s">
        <v>215</v>
      </c>
      <c r="C123" s="25" t="s">
        <v>12</v>
      </c>
      <c r="D123" s="25" t="s">
        <v>12</v>
      </c>
      <c r="E123" s="25" t="s">
        <v>12</v>
      </c>
      <c r="F123" s="27">
        <f>G123+H123+I123</f>
        <v>3046105.2</v>
      </c>
      <c r="G123" s="26">
        <f>SUM(G125:G127)</f>
        <v>456743.3</v>
      </c>
      <c r="H123" s="26">
        <f>SUM(H125:H127)</f>
        <v>2478014.9</v>
      </c>
      <c r="I123" s="110">
        <v>111347</v>
      </c>
      <c r="J123" s="27">
        <f t="shared" si="170"/>
        <v>389165.2</v>
      </c>
      <c r="K123" s="26">
        <f>SUM(K125:K127)</f>
        <v>91131.199999999997</v>
      </c>
      <c r="L123" s="26">
        <f>SUM(L125:L127)</f>
        <v>225574.1</v>
      </c>
      <c r="M123" s="26">
        <v>72459.899999999994</v>
      </c>
      <c r="N123" s="26">
        <f t="shared" si="171"/>
        <v>3062292.7</v>
      </c>
      <c r="O123" s="26">
        <f>SUM(O125:O127)</f>
        <v>940551.2</v>
      </c>
      <c r="P123" s="27">
        <f>SUM(P125:P127)</f>
        <v>2077723.4</v>
      </c>
      <c r="Q123" s="92">
        <v>44018.1</v>
      </c>
      <c r="R123" s="26">
        <f t="shared" si="172"/>
        <v>88138.1</v>
      </c>
      <c r="S123" s="27">
        <f>SUM(S125:S127)</f>
        <v>44120</v>
      </c>
      <c r="T123" s="27">
        <f>SUM(T125:T127)</f>
        <v>0</v>
      </c>
      <c r="U123" s="27">
        <v>44018.1</v>
      </c>
      <c r="V123" s="37">
        <f t="shared" si="146"/>
        <v>0.128</v>
      </c>
      <c r="X123" s="94"/>
    </row>
    <row r="124" spans="1:101" ht="18.75">
      <c r="A124" s="23"/>
      <c r="B124" s="60" t="s">
        <v>15</v>
      </c>
      <c r="C124" s="61"/>
      <c r="D124" s="61"/>
      <c r="E124" s="61"/>
      <c r="F124" s="27"/>
      <c r="G124" s="26"/>
      <c r="H124" s="26"/>
      <c r="I124" s="26"/>
      <c r="J124" s="27"/>
      <c r="K124" s="26"/>
      <c r="L124" s="26"/>
      <c r="M124" s="26"/>
      <c r="N124" s="26"/>
      <c r="O124" s="26"/>
      <c r="P124" s="27"/>
      <c r="Q124" s="27"/>
      <c r="R124" s="26"/>
      <c r="S124" s="27"/>
      <c r="T124" s="27"/>
      <c r="U124" s="27"/>
      <c r="V124" s="37"/>
    </row>
    <row r="125" spans="1:101" ht="72.75" customHeight="1">
      <c r="A125" s="23"/>
      <c r="B125" s="40" t="s">
        <v>296</v>
      </c>
      <c r="C125" s="34">
        <v>821</v>
      </c>
      <c r="D125" s="35" t="s">
        <v>19</v>
      </c>
      <c r="E125" s="34" t="s">
        <v>297</v>
      </c>
      <c r="F125" s="27">
        <f t="shared" si="136"/>
        <v>0</v>
      </c>
      <c r="G125" s="78">
        <v>0</v>
      </c>
      <c r="H125" s="78"/>
      <c r="I125" s="78"/>
      <c r="J125" s="27">
        <f t="shared" ref="J125:J128" si="173">K125+L125+M125</f>
        <v>0</v>
      </c>
      <c r="K125" s="78"/>
      <c r="L125" s="78"/>
      <c r="M125" s="78"/>
      <c r="N125" s="26">
        <f t="shared" ref="N125:N128" si="174">O125+P125+Q125</f>
        <v>0</v>
      </c>
      <c r="O125" s="78">
        <v>0</v>
      </c>
      <c r="P125" s="32"/>
      <c r="Q125" s="32"/>
      <c r="R125" s="26">
        <f t="shared" ref="R125:R128" si="175">S125+T125+U125</f>
        <v>0</v>
      </c>
      <c r="S125" s="32">
        <v>0</v>
      </c>
      <c r="T125" s="32"/>
      <c r="U125" s="32"/>
      <c r="V125" s="62" t="e">
        <f t="shared" si="146"/>
        <v>#DIV/0!</v>
      </c>
    </row>
    <row r="126" spans="1:101" ht="80.25" customHeight="1">
      <c r="A126" s="23"/>
      <c r="B126" s="40" t="s">
        <v>298</v>
      </c>
      <c r="C126" s="34">
        <v>821</v>
      </c>
      <c r="D126" s="35" t="s">
        <v>19</v>
      </c>
      <c r="E126" s="34" t="s">
        <v>156</v>
      </c>
      <c r="F126" s="27">
        <f t="shared" si="136"/>
        <v>2478014.9</v>
      </c>
      <c r="G126" s="78"/>
      <c r="H126" s="78">
        <v>2478014.9</v>
      </c>
      <c r="I126" s="78"/>
      <c r="J126" s="27">
        <f t="shared" si="173"/>
        <v>225574.1</v>
      </c>
      <c r="K126" s="78"/>
      <c r="L126" s="78">
        <v>225574.1</v>
      </c>
      <c r="M126" s="78"/>
      <c r="N126" s="26">
        <f t="shared" si="174"/>
        <v>2077723.4</v>
      </c>
      <c r="O126" s="78"/>
      <c r="P126" s="32">
        <v>2077723.4</v>
      </c>
      <c r="Q126" s="32"/>
      <c r="R126" s="26">
        <f t="shared" si="175"/>
        <v>0</v>
      </c>
      <c r="S126" s="32"/>
      <c r="T126" s="32"/>
      <c r="U126" s="32"/>
      <c r="V126" s="62">
        <f t="shared" ref="V126:V127" si="176">J126/F126</f>
        <v>9.0999999999999998E-2</v>
      </c>
    </row>
    <row r="127" spans="1:101" ht="67.5" customHeight="1">
      <c r="A127" s="23"/>
      <c r="B127" s="40" t="s">
        <v>107</v>
      </c>
      <c r="C127" s="34" t="s">
        <v>258</v>
      </c>
      <c r="D127" s="35" t="s">
        <v>19</v>
      </c>
      <c r="E127" s="34" t="s">
        <v>177</v>
      </c>
      <c r="F127" s="27">
        <f t="shared" ref="F127" si="177">G127+H127+I127</f>
        <v>456743.3</v>
      </c>
      <c r="G127" s="78">
        <v>456743.3</v>
      </c>
      <c r="H127" s="78"/>
      <c r="I127" s="78"/>
      <c r="J127" s="27">
        <f t="shared" ref="J127" si="178">K127+L127+M127</f>
        <v>91131.199999999997</v>
      </c>
      <c r="K127" s="78">
        <v>91131.199999999997</v>
      </c>
      <c r="L127" s="78"/>
      <c r="M127" s="78"/>
      <c r="N127" s="26">
        <f t="shared" ref="N127" si="179">O127+P127+Q127</f>
        <v>940551.2</v>
      </c>
      <c r="O127" s="78">
        <v>940551.2</v>
      </c>
      <c r="P127" s="32"/>
      <c r="Q127" s="32"/>
      <c r="R127" s="26">
        <f t="shared" ref="R127" si="180">S127+T127+U127</f>
        <v>44120</v>
      </c>
      <c r="S127" s="32">
        <v>44120</v>
      </c>
      <c r="T127" s="32"/>
      <c r="U127" s="32"/>
      <c r="V127" s="62">
        <f t="shared" si="176"/>
        <v>0.2</v>
      </c>
    </row>
    <row r="128" spans="1:101" ht="27.75" customHeight="1">
      <c r="A128" s="23" t="s">
        <v>214</v>
      </c>
      <c r="B128" s="47" t="s">
        <v>333</v>
      </c>
      <c r="C128" s="61" t="s">
        <v>12</v>
      </c>
      <c r="D128" s="61" t="s">
        <v>12</v>
      </c>
      <c r="E128" s="61" t="s">
        <v>12</v>
      </c>
      <c r="F128" s="27">
        <f>G128+H128+I128</f>
        <v>213876.3</v>
      </c>
      <c r="G128" s="26">
        <f>G132+G130+G131</f>
        <v>25491.5</v>
      </c>
      <c r="H128" s="26">
        <f t="shared" ref="H128:I128" si="181">H132+H130+H131</f>
        <v>179400.9</v>
      </c>
      <c r="I128" s="26">
        <f t="shared" si="181"/>
        <v>8983.9</v>
      </c>
      <c r="J128" s="27">
        <f t="shared" si="173"/>
        <v>160948.6</v>
      </c>
      <c r="K128" s="26">
        <f>K132+K130+K131</f>
        <v>13260.3</v>
      </c>
      <c r="L128" s="26">
        <f t="shared" ref="L128:M128" si="182">L132+L130+L131</f>
        <v>144062.9</v>
      </c>
      <c r="M128" s="26">
        <f t="shared" si="182"/>
        <v>3625.4</v>
      </c>
      <c r="N128" s="26">
        <f t="shared" si="174"/>
        <v>378534.8</v>
      </c>
      <c r="O128" s="26">
        <f>O132+O130+O131</f>
        <v>9775</v>
      </c>
      <c r="P128" s="27">
        <f t="shared" ref="P128:Q128" si="183">P132+P130+P131</f>
        <v>368759.8</v>
      </c>
      <c r="Q128" s="27">
        <f t="shared" si="183"/>
        <v>0</v>
      </c>
      <c r="R128" s="26">
        <f t="shared" si="175"/>
        <v>169304.7</v>
      </c>
      <c r="S128" s="27">
        <f>S132+S130+S131</f>
        <v>9775</v>
      </c>
      <c r="T128" s="27">
        <f t="shared" ref="T128:U128" si="184">T132+T130+T131</f>
        <v>159529.70000000001</v>
      </c>
      <c r="U128" s="27">
        <f t="shared" si="184"/>
        <v>0</v>
      </c>
      <c r="V128" s="28">
        <f t="shared" si="146"/>
        <v>0.753</v>
      </c>
    </row>
    <row r="129" spans="1:101" ht="18.75">
      <c r="A129" s="38"/>
      <c r="B129" s="60" t="s">
        <v>15</v>
      </c>
      <c r="C129" s="31"/>
      <c r="D129" s="41"/>
      <c r="E129" s="31"/>
      <c r="F129" s="27"/>
      <c r="G129" s="78"/>
      <c r="H129" s="78"/>
      <c r="I129" s="78"/>
      <c r="J129" s="27"/>
      <c r="K129" s="78"/>
      <c r="L129" s="78"/>
      <c r="M129" s="78"/>
      <c r="N129" s="26"/>
      <c r="O129" s="78"/>
      <c r="P129" s="32"/>
      <c r="Q129" s="32"/>
      <c r="R129" s="26"/>
      <c r="S129" s="32"/>
      <c r="T129" s="32"/>
      <c r="U129" s="32"/>
      <c r="V129" s="62"/>
    </row>
    <row r="130" spans="1:101" ht="80.25" customHeight="1">
      <c r="A130" s="38"/>
      <c r="B130" s="40" t="s">
        <v>178</v>
      </c>
      <c r="C130" s="34" t="s">
        <v>299</v>
      </c>
      <c r="D130" s="35" t="s">
        <v>82</v>
      </c>
      <c r="E130" s="34" t="s">
        <v>218</v>
      </c>
      <c r="F130" s="27">
        <f t="shared" si="136"/>
        <v>9775</v>
      </c>
      <c r="G130" s="78">
        <v>9775</v>
      </c>
      <c r="H130" s="78"/>
      <c r="I130" s="78"/>
      <c r="J130" s="27">
        <f t="shared" ref="J130:J132" si="185">K130+L130+M130</f>
        <v>9775</v>
      </c>
      <c r="K130" s="78">
        <v>9775</v>
      </c>
      <c r="L130" s="78"/>
      <c r="M130" s="78"/>
      <c r="N130" s="26">
        <f t="shared" ref="N130:N132" si="186">O130+P130+Q130</f>
        <v>9775</v>
      </c>
      <c r="O130" s="78">
        <v>9775</v>
      </c>
      <c r="P130" s="32"/>
      <c r="Q130" s="32"/>
      <c r="R130" s="26">
        <f t="shared" ref="R130:R132" si="187">S130+T130+U130</f>
        <v>9775</v>
      </c>
      <c r="S130" s="32">
        <v>9775</v>
      </c>
      <c r="T130" s="32"/>
      <c r="U130" s="32"/>
      <c r="V130" s="62">
        <f t="shared" si="146"/>
        <v>1</v>
      </c>
    </row>
    <row r="131" spans="1:101" ht="69" customHeight="1">
      <c r="A131" s="38"/>
      <c r="B131" s="89" t="s">
        <v>330</v>
      </c>
      <c r="C131" s="90">
        <v>828</v>
      </c>
      <c r="D131" s="91" t="s">
        <v>82</v>
      </c>
      <c r="E131" s="90" t="s">
        <v>331</v>
      </c>
      <c r="F131" s="26">
        <f t="shared" si="136"/>
        <v>11368.6</v>
      </c>
      <c r="G131" s="78">
        <v>9156.5</v>
      </c>
      <c r="H131" s="78"/>
      <c r="I131" s="78">
        <v>2212.1</v>
      </c>
      <c r="J131" s="26">
        <f t="shared" si="185"/>
        <v>0</v>
      </c>
      <c r="K131" s="78"/>
      <c r="L131" s="78"/>
      <c r="M131" s="78"/>
      <c r="N131" s="26">
        <f t="shared" si="186"/>
        <v>0</v>
      </c>
      <c r="O131" s="78"/>
      <c r="P131" s="32"/>
      <c r="Q131" s="32"/>
      <c r="R131" s="26">
        <f t="shared" si="187"/>
        <v>0</v>
      </c>
      <c r="S131" s="32"/>
      <c r="T131" s="32"/>
      <c r="U131" s="32"/>
      <c r="V131" s="62">
        <f t="shared" si="146"/>
        <v>0</v>
      </c>
    </row>
    <row r="132" spans="1:101" ht="69" customHeight="1">
      <c r="A132" s="38"/>
      <c r="B132" s="40" t="s">
        <v>81</v>
      </c>
      <c r="C132" s="34" t="s">
        <v>299</v>
      </c>
      <c r="D132" s="35" t="s">
        <v>82</v>
      </c>
      <c r="E132" s="34" t="s">
        <v>217</v>
      </c>
      <c r="F132" s="27">
        <f t="shared" si="136"/>
        <v>192732.7</v>
      </c>
      <c r="G132" s="78">
        <v>6560</v>
      </c>
      <c r="H132" s="78">
        <v>179400.9</v>
      </c>
      <c r="I132" s="78">
        <v>6771.8</v>
      </c>
      <c r="J132" s="27">
        <f t="shared" si="185"/>
        <v>151173.6</v>
      </c>
      <c r="K132" s="78">
        <v>3485.3</v>
      </c>
      <c r="L132" s="78">
        <v>144062.9</v>
      </c>
      <c r="M132" s="78">
        <v>3625.4</v>
      </c>
      <c r="N132" s="26">
        <f t="shared" si="186"/>
        <v>368759.8</v>
      </c>
      <c r="O132" s="78">
        <v>0</v>
      </c>
      <c r="P132" s="32">
        <v>368759.8</v>
      </c>
      <c r="Q132" s="32"/>
      <c r="R132" s="26">
        <f t="shared" si="187"/>
        <v>159529.70000000001</v>
      </c>
      <c r="S132" s="32">
        <v>0</v>
      </c>
      <c r="T132" s="32">
        <v>159529.70000000001</v>
      </c>
      <c r="U132" s="32"/>
      <c r="V132" s="62">
        <f t="shared" si="146"/>
        <v>0.78400000000000003</v>
      </c>
    </row>
    <row r="133" spans="1:101" s="65" customFormat="1" ht="28.5" customHeight="1">
      <c r="A133" s="18" t="s">
        <v>73</v>
      </c>
      <c r="B133" s="19" t="s">
        <v>74</v>
      </c>
      <c r="C133" s="20" t="s">
        <v>12</v>
      </c>
      <c r="D133" s="20" t="s">
        <v>12</v>
      </c>
      <c r="E133" s="20" t="s">
        <v>12</v>
      </c>
      <c r="F133" s="44">
        <f t="shared" si="136"/>
        <v>36149.5</v>
      </c>
      <c r="G133" s="44">
        <f>G134+G139+G142</f>
        <v>11749.5</v>
      </c>
      <c r="H133" s="44">
        <f>H134+H139+H142</f>
        <v>20483.5</v>
      </c>
      <c r="I133" s="44">
        <f>I134+I139+I142</f>
        <v>3916.5</v>
      </c>
      <c r="J133" s="44">
        <f t="shared" ref="J133:J134" si="188">K133+L133+M133</f>
        <v>20258.8</v>
      </c>
      <c r="K133" s="44">
        <f>K134+K139+K142</f>
        <v>1122.0999999999999</v>
      </c>
      <c r="L133" s="44">
        <f>L134+L139+L142</f>
        <v>18762.599999999999</v>
      </c>
      <c r="M133" s="44">
        <f>M134+M139+M142</f>
        <v>374.1</v>
      </c>
      <c r="N133" s="44">
        <f t="shared" ref="N133:N134" si="189">O133+P133+Q133</f>
        <v>140002.70000000001</v>
      </c>
      <c r="O133" s="44">
        <f>O134+O139+O142</f>
        <v>12210</v>
      </c>
      <c r="P133" s="44">
        <f>P134+P139+P142</f>
        <v>123722.7</v>
      </c>
      <c r="Q133" s="44">
        <f>Q134+Q139+Q142</f>
        <v>4070</v>
      </c>
      <c r="R133" s="44">
        <f t="shared" ref="R133:R134" si="190">S133+T133+U133</f>
        <v>154447.79999999999</v>
      </c>
      <c r="S133" s="44">
        <f>S134+S139+S142</f>
        <v>10726.2</v>
      </c>
      <c r="T133" s="44">
        <f>T134+T139+T142</f>
        <v>143721.60000000001</v>
      </c>
      <c r="U133" s="44">
        <f>U134+U139+U142</f>
        <v>0</v>
      </c>
      <c r="V133" s="45">
        <f t="shared" si="146"/>
        <v>0.56000000000000005</v>
      </c>
      <c r="W133" s="3"/>
      <c r="X133" s="17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</row>
    <row r="134" spans="1:101" ht="18.75">
      <c r="A134" s="10" t="s">
        <v>75</v>
      </c>
      <c r="B134" s="24" t="s">
        <v>76</v>
      </c>
      <c r="C134" s="36" t="s">
        <v>12</v>
      </c>
      <c r="D134" s="36" t="s">
        <v>12</v>
      </c>
      <c r="E134" s="36" t="s">
        <v>12</v>
      </c>
      <c r="F134" s="27">
        <f t="shared" si="136"/>
        <v>9383.7999999999993</v>
      </c>
      <c r="G134" s="26">
        <f>SUM(G136:G137)</f>
        <v>0</v>
      </c>
      <c r="H134" s="26">
        <f>SUM(H136:H137)</f>
        <v>9383.7999999999993</v>
      </c>
      <c r="I134" s="26">
        <f>SUM(I136:I137)</f>
        <v>0</v>
      </c>
      <c r="J134" s="27">
        <f t="shared" si="188"/>
        <v>9383.7999999999993</v>
      </c>
      <c r="K134" s="26">
        <f>SUM(K136:K137)</f>
        <v>0</v>
      </c>
      <c r="L134" s="26">
        <f>SUM(L136:L137)</f>
        <v>9383.7999999999993</v>
      </c>
      <c r="M134" s="26">
        <f>SUM(M136:M137)</f>
        <v>0</v>
      </c>
      <c r="N134" s="26">
        <f t="shared" si="189"/>
        <v>16009.3</v>
      </c>
      <c r="O134" s="26">
        <f>SUM(O136:O137)</f>
        <v>0</v>
      </c>
      <c r="P134" s="27">
        <f>SUM(P136:P137)</f>
        <v>16009.3</v>
      </c>
      <c r="Q134" s="27">
        <f>SUM(Q136:Q137)</f>
        <v>0</v>
      </c>
      <c r="R134" s="26">
        <f t="shared" si="190"/>
        <v>34938.6</v>
      </c>
      <c r="S134" s="27">
        <f>SUM(S136:S137)</f>
        <v>0</v>
      </c>
      <c r="T134" s="27">
        <f>SUM(T136:T137)</f>
        <v>34938.6</v>
      </c>
      <c r="U134" s="27">
        <f>SUM(U136:U137)</f>
        <v>0</v>
      </c>
      <c r="V134" s="37">
        <f t="shared" si="146"/>
        <v>1</v>
      </c>
    </row>
    <row r="135" spans="1:101" ht="18.75">
      <c r="A135" s="13"/>
      <c r="B135" s="30" t="s">
        <v>15</v>
      </c>
      <c r="C135" s="56"/>
      <c r="D135" s="56"/>
      <c r="E135" s="56"/>
      <c r="F135" s="27"/>
      <c r="G135" s="26"/>
      <c r="H135" s="26"/>
      <c r="I135" s="26"/>
      <c r="J135" s="27"/>
      <c r="K135" s="26"/>
      <c r="L135" s="26"/>
      <c r="M135" s="26"/>
      <c r="N135" s="26"/>
      <c r="O135" s="26"/>
      <c r="P135" s="27"/>
      <c r="Q135" s="27"/>
      <c r="R135" s="26"/>
      <c r="S135" s="27"/>
      <c r="T135" s="27"/>
      <c r="U135" s="27"/>
      <c r="V135" s="37"/>
    </row>
    <row r="136" spans="1:101" ht="54.75" customHeight="1">
      <c r="A136" s="38"/>
      <c r="B136" s="88" t="s">
        <v>77</v>
      </c>
      <c r="C136" s="34" t="s">
        <v>300</v>
      </c>
      <c r="D136" s="35" t="s">
        <v>78</v>
      </c>
      <c r="E136" s="34" t="s">
        <v>157</v>
      </c>
      <c r="F136" s="27">
        <f t="shared" ref="F136:F180" si="191">G136+H136+I136</f>
        <v>5996.6</v>
      </c>
      <c r="G136" s="78"/>
      <c r="H136" s="32">
        <v>5996.6</v>
      </c>
      <c r="I136" s="78"/>
      <c r="J136" s="27">
        <f t="shared" ref="J136:J137" si="192">K136+L136+M136</f>
        <v>5996.6</v>
      </c>
      <c r="K136" s="78"/>
      <c r="L136" s="78">
        <v>5996.6</v>
      </c>
      <c r="M136" s="78"/>
      <c r="N136" s="26">
        <f t="shared" ref="N136:N137" si="193">O136+P136+Q136</f>
        <v>6257</v>
      </c>
      <c r="O136" s="78"/>
      <c r="P136" s="32">
        <v>6257</v>
      </c>
      <c r="Q136" s="32"/>
      <c r="R136" s="26">
        <f t="shared" ref="R136:R137" si="194">S136+T136+U136</f>
        <v>6244.8</v>
      </c>
      <c r="S136" s="32"/>
      <c r="T136" s="32">
        <v>6244.8</v>
      </c>
      <c r="U136" s="32"/>
      <c r="V136" s="62">
        <f t="shared" ref="V136:V180" si="195">J136/F136</f>
        <v>1</v>
      </c>
    </row>
    <row r="137" spans="1:101" ht="90" customHeight="1">
      <c r="A137" s="38"/>
      <c r="B137" s="40" t="s">
        <v>79</v>
      </c>
      <c r="C137" s="34" t="s">
        <v>300</v>
      </c>
      <c r="D137" s="35" t="s">
        <v>78</v>
      </c>
      <c r="E137" s="34" t="s">
        <v>158</v>
      </c>
      <c r="F137" s="27">
        <f t="shared" si="191"/>
        <v>3387.2</v>
      </c>
      <c r="G137" s="78"/>
      <c r="H137" s="32">
        <v>3387.2</v>
      </c>
      <c r="I137" s="78"/>
      <c r="J137" s="27">
        <f t="shared" si="192"/>
        <v>3387.2</v>
      </c>
      <c r="K137" s="78"/>
      <c r="L137" s="78">
        <v>3387.2</v>
      </c>
      <c r="M137" s="78"/>
      <c r="N137" s="26">
        <f t="shared" si="193"/>
        <v>9752.2999999999993</v>
      </c>
      <c r="O137" s="78"/>
      <c r="P137" s="32">
        <v>9752.2999999999993</v>
      </c>
      <c r="Q137" s="32"/>
      <c r="R137" s="26">
        <f t="shared" si="194"/>
        <v>28693.8</v>
      </c>
      <c r="S137" s="32"/>
      <c r="T137" s="32">
        <v>28693.8</v>
      </c>
      <c r="U137" s="32"/>
      <c r="V137" s="62">
        <f t="shared" si="195"/>
        <v>1</v>
      </c>
    </row>
    <row r="138" spans="1:101" ht="18.75">
      <c r="A138" s="38"/>
      <c r="B138" s="39" t="s">
        <v>15</v>
      </c>
      <c r="C138" s="31"/>
      <c r="D138" s="31"/>
      <c r="E138" s="31"/>
      <c r="F138" s="27"/>
      <c r="G138" s="26"/>
      <c r="H138" s="27"/>
      <c r="I138" s="26"/>
      <c r="J138" s="27"/>
      <c r="K138" s="26"/>
      <c r="L138" s="26"/>
      <c r="M138" s="26"/>
      <c r="N138" s="26"/>
      <c r="O138" s="26"/>
      <c r="P138" s="27"/>
      <c r="Q138" s="27"/>
      <c r="R138" s="26"/>
      <c r="S138" s="27"/>
      <c r="T138" s="27"/>
      <c r="U138" s="27"/>
      <c r="V138" s="37"/>
    </row>
    <row r="139" spans="1:101" ht="38.25" customHeight="1">
      <c r="A139" s="23" t="s">
        <v>80</v>
      </c>
      <c r="B139" s="47" t="s">
        <v>301</v>
      </c>
      <c r="C139" s="25" t="s">
        <v>12</v>
      </c>
      <c r="D139" s="25" t="s">
        <v>12</v>
      </c>
      <c r="E139" s="25" t="s">
        <v>12</v>
      </c>
      <c r="F139" s="27">
        <f t="shared" si="191"/>
        <v>3590</v>
      </c>
      <c r="G139" s="26">
        <f>G141</f>
        <v>0</v>
      </c>
      <c r="H139" s="27">
        <f t="shared" ref="H139:I139" si="196">H141</f>
        <v>3590</v>
      </c>
      <c r="I139" s="26">
        <f t="shared" si="196"/>
        <v>0</v>
      </c>
      <c r="J139" s="26">
        <f t="shared" ref="J139" si="197">K139+L139+M139</f>
        <v>1869.1</v>
      </c>
      <c r="K139" s="26">
        <f>+K141</f>
        <v>0</v>
      </c>
      <c r="L139" s="26">
        <f>L141</f>
        <v>1869.1</v>
      </c>
      <c r="M139" s="26">
        <f t="shared" ref="M139" si="198">+M141</f>
        <v>0</v>
      </c>
      <c r="N139" s="26">
        <f t="shared" ref="N139" si="199">O139+P139+Q139</f>
        <v>26000</v>
      </c>
      <c r="O139" s="26">
        <f>O141</f>
        <v>0</v>
      </c>
      <c r="P139" s="27">
        <f t="shared" ref="P139:Q139" si="200">P141</f>
        <v>26000</v>
      </c>
      <c r="Q139" s="27">
        <f t="shared" si="200"/>
        <v>0</v>
      </c>
      <c r="R139" s="26">
        <f t="shared" ref="R139" si="201">S139+T139+U139</f>
        <v>37000</v>
      </c>
      <c r="S139" s="27">
        <f>S141</f>
        <v>0</v>
      </c>
      <c r="T139" s="27">
        <f t="shared" ref="T139:U139" si="202">T141</f>
        <v>37000</v>
      </c>
      <c r="U139" s="27">
        <f t="shared" si="202"/>
        <v>0</v>
      </c>
      <c r="V139" s="28">
        <f t="shared" si="195"/>
        <v>0.52100000000000002</v>
      </c>
    </row>
    <row r="140" spans="1:101" ht="18.75">
      <c r="A140" s="38"/>
      <c r="B140" s="39" t="s">
        <v>15</v>
      </c>
      <c r="C140" s="31"/>
      <c r="D140" s="31"/>
      <c r="E140" s="31"/>
      <c r="F140" s="27"/>
      <c r="G140" s="26"/>
      <c r="H140" s="27"/>
      <c r="I140" s="26"/>
      <c r="J140" s="27"/>
      <c r="K140" s="26"/>
      <c r="L140" s="26"/>
      <c r="M140" s="26"/>
      <c r="N140" s="26"/>
      <c r="O140" s="26"/>
      <c r="P140" s="27"/>
      <c r="Q140" s="27"/>
      <c r="R140" s="26"/>
      <c r="S140" s="27"/>
      <c r="T140" s="27"/>
      <c r="U140" s="27"/>
      <c r="V140" s="28"/>
    </row>
    <row r="141" spans="1:101" ht="74.25" customHeight="1">
      <c r="A141" s="38"/>
      <c r="B141" s="40" t="s">
        <v>226</v>
      </c>
      <c r="C141" s="34">
        <v>810</v>
      </c>
      <c r="D141" s="35" t="s">
        <v>84</v>
      </c>
      <c r="E141" s="34" t="s">
        <v>227</v>
      </c>
      <c r="F141" s="27">
        <f t="shared" si="191"/>
        <v>3590</v>
      </c>
      <c r="G141" s="26"/>
      <c r="H141" s="27">
        <v>3590</v>
      </c>
      <c r="I141" s="26"/>
      <c r="J141" s="27">
        <f t="shared" ref="J141" si="203">K141+L141+M141</f>
        <v>1869.1</v>
      </c>
      <c r="K141" s="26"/>
      <c r="L141" s="26">
        <v>1869.1</v>
      </c>
      <c r="M141" s="26"/>
      <c r="N141" s="26">
        <f t="shared" ref="N141:N142" si="204">O141+P141+Q141</f>
        <v>26000</v>
      </c>
      <c r="O141" s="26"/>
      <c r="P141" s="32">
        <v>26000</v>
      </c>
      <c r="Q141" s="27"/>
      <c r="R141" s="26">
        <f t="shared" ref="R141:R142" si="205">S141+T141+U141</f>
        <v>37000</v>
      </c>
      <c r="S141" s="27"/>
      <c r="T141" s="32">
        <v>37000</v>
      </c>
      <c r="U141" s="32"/>
      <c r="V141" s="28">
        <f t="shared" si="195"/>
        <v>0.52100000000000002</v>
      </c>
    </row>
    <row r="142" spans="1:101" s="7" customFormat="1" ht="26.25" customHeight="1">
      <c r="A142" s="23" t="s">
        <v>83</v>
      </c>
      <c r="B142" s="47" t="s">
        <v>160</v>
      </c>
      <c r="C142" s="61" t="s">
        <v>12</v>
      </c>
      <c r="D142" s="9" t="s">
        <v>12</v>
      </c>
      <c r="E142" s="61" t="s">
        <v>12</v>
      </c>
      <c r="F142" s="27">
        <f>G142+H142+I142</f>
        <v>23175.7</v>
      </c>
      <c r="G142" s="26">
        <f>G144+G145</f>
        <v>11749.5</v>
      </c>
      <c r="H142" s="26">
        <f>H144+H145</f>
        <v>7509.7</v>
      </c>
      <c r="I142" s="26">
        <f>I144+I145</f>
        <v>3916.5</v>
      </c>
      <c r="J142" s="27">
        <f>K142+L142+M142</f>
        <v>9005.9</v>
      </c>
      <c r="K142" s="26">
        <f>K145+K144</f>
        <v>1122.0999999999999</v>
      </c>
      <c r="L142" s="27">
        <f>L145+L144</f>
        <v>7509.7</v>
      </c>
      <c r="M142" s="27">
        <f>M145+M144</f>
        <v>374.1</v>
      </c>
      <c r="N142" s="27">
        <f t="shared" si="204"/>
        <v>97993.4</v>
      </c>
      <c r="O142" s="27">
        <f>O145+O144</f>
        <v>12210</v>
      </c>
      <c r="P142" s="27">
        <f>P145+P144</f>
        <v>81713.399999999994</v>
      </c>
      <c r="Q142" s="27">
        <f>Q145+Q144</f>
        <v>4070</v>
      </c>
      <c r="R142" s="27">
        <f t="shared" si="205"/>
        <v>82509.2</v>
      </c>
      <c r="S142" s="27">
        <f>S145+S144</f>
        <v>10726.2</v>
      </c>
      <c r="T142" s="27">
        <f>T145+T144</f>
        <v>71783</v>
      </c>
      <c r="U142" s="27">
        <f>U145+U144</f>
        <v>0</v>
      </c>
      <c r="V142" s="37">
        <f t="shared" si="195"/>
        <v>0.38900000000000001</v>
      </c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</row>
    <row r="143" spans="1:101" ht="18.75">
      <c r="A143" s="38"/>
      <c r="B143" s="39" t="s">
        <v>15</v>
      </c>
      <c r="C143" s="31"/>
      <c r="D143" s="41"/>
      <c r="E143" s="31"/>
      <c r="F143" s="27"/>
      <c r="G143" s="26"/>
      <c r="H143" s="26"/>
      <c r="I143" s="26"/>
      <c r="J143" s="27"/>
      <c r="K143" s="26"/>
      <c r="L143" s="26"/>
      <c r="M143" s="26"/>
      <c r="N143" s="26"/>
      <c r="O143" s="26"/>
      <c r="P143" s="27"/>
      <c r="Q143" s="27"/>
      <c r="R143" s="26"/>
      <c r="S143" s="27"/>
      <c r="T143" s="27"/>
      <c r="U143" s="27"/>
      <c r="V143" s="37"/>
    </row>
    <row r="144" spans="1:101" ht="82.5">
      <c r="A144" s="38"/>
      <c r="B144" s="60" t="s">
        <v>386</v>
      </c>
      <c r="C144" s="34" t="s">
        <v>384</v>
      </c>
      <c r="D144" s="41" t="s">
        <v>84</v>
      </c>
      <c r="E144" s="34" t="s">
        <v>385</v>
      </c>
      <c r="F144" s="27">
        <f>G144+H144+I144</f>
        <v>10412</v>
      </c>
      <c r="G144" s="26">
        <v>10412</v>
      </c>
      <c r="H144" s="26"/>
      <c r="I144" s="26"/>
      <c r="J144" s="27">
        <f>K144+L144+M144</f>
        <v>0</v>
      </c>
      <c r="K144" s="26"/>
      <c r="L144" s="26"/>
      <c r="M144" s="26"/>
      <c r="N144" s="26">
        <f>O144+P144+Q144</f>
        <v>0</v>
      </c>
      <c r="O144" s="26"/>
      <c r="P144" s="27"/>
      <c r="Q144" s="27"/>
      <c r="R144" s="26">
        <f>S144+T144+U144</f>
        <v>0</v>
      </c>
      <c r="S144" s="27"/>
      <c r="T144" s="27"/>
      <c r="U144" s="27"/>
      <c r="V144" s="62">
        <f>J144/F144</f>
        <v>0</v>
      </c>
    </row>
    <row r="145" spans="1:101" ht="75.75" customHeight="1">
      <c r="A145" s="38"/>
      <c r="B145" s="40" t="s">
        <v>162</v>
      </c>
      <c r="C145" s="34">
        <v>810</v>
      </c>
      <c r="D145" s="35" t="s">
        <v>84</v>
      </c>
      <c r="E145" s="34" t="s">
        <v>161</v>
      </c>
      <c r="F145" s="27">
        <f t="shared" si="191"/>
        <v>12763.7</v>
      </c>
      <c r="G145" s="78">
        <v>1337.5</v>
      </c>
      <c r="H145" s="78">
        <v>7509.7</v>
      </c>
      <c r="I145" s="78">
        <v>3916.5</v>
      </c>
      <c r="J145" s="27">
        <f t="shared" ref="J145:J152" si="206">K145+L145+M145</f>
        <v>9005.9</v>
      </c>
      <c r="K145" s="78">
        <v>1122.0999999999999</v>
      </c>
      <c r="L145" s="78">
        <v>7509.7</v>
      </c>
      <c r="M145" s="78">
        <v>374.1</v>
      </c>
      <c r="N145" s="26">
        <f t="shared" ref="N145:N147" si="207">O145+P145+Q145</f>
        <v>97993.4</v>
      </c>
      <c r="O145" s="78">
        <v>12210</v>
      </c>
      <c r="P145" s="32">
        <v>81713.399999999994</v>
      </c>
      <c r="Q145" s="32">
        <v>4070</v>
      </c>
      <c r="R145" s="26">
        <f t="shared" ref="R145:R147" si="208">S145+T145+U145</f>
        <v>82509.2</v>
      </c>
      <c r="S145" s="32">
        <v>10726.2</v>
      </c>
      <c r="T145" s="32">
        <v>71783</v>
      </c>
      <c r="U145" s="32"/>
      <c r="V145" s="62">
        <f t="shared" si="195"/>
        <v>0.70599999999999996</v>
      </c>
    </row>
    <row r="146" spans="1:101" s="65" customFormat="1" ht="39" customHeight="1">
      <c r="A146" s="18" t="s">
        <v>85</v>
      </c>
      <c r="B146" s="59" t="s">
        <v>342</v>
      </c>
      <c r="C146" s="20" t="s">
        <v>12</v>
      </c>
      <c r="D146" s="20" t="s">
        <v>12</v>
      </c>
      <c r="E146" s="20" t="s">
        <v>12</v>
      </c>
      <c r="F146" s="44">
        <f t="shared" si="191"/>
        <v>6530425</v>
      </c>
      <c r="G146" s="44">
        <f>G147+G158+G154</f>
        <v>3728629.9</v>
      </c>
      <c r="H146" s="44">
        <f>H147+H158+H154</f>
        <v>2527645.9</v>
      </c>
      <c r="I146" s="44">
        <f>I147+I158+I154</f>
        <v>274149.2</v>
      </c>
      <c r="J146" s="44">
        <f t="shared" si="206"/>
        <v>5574583.2999999998</v>
      </c>
      <c r="K146" s="44">
        <f>K147+K158+K154</f>
        <v>3134833.4</v>
      </c>
      <c r="L146" s="44">
        <f>L147+L158+L154</f>
        <v>2216464.4</v>
      </c>
      <c r="M146" s="44">
        <f>M147+M158+M154</f>
        <v>223285.5</v>
      </c>
      <c r="N146" s="44">
        <f t="shared" si="207"/>
        <v>6307958.9000000004</v>
      </c>
      <c r="O146" s="44">
        <f>O147+O158+O154</f>
        <v>2759673.1</v>
      </c>
      <c r="P146" s="44">
        <f>P147+P158+P154</f>
        <v>3485108</v>
      </c>
      <c r="Q146" s="44">
        <f>Q147+Q158+Q154</f>
        <v>63177.8</v>
      </c>
      <c r="R146" s="44">
        <f t="shared" si="208"/>
        <v>8239147.5999999996</v>
      </c>
      <c r="S146" s="44">
        <f>S147+S158+S154</f>
        <v>4151290.8</v>
      </c>
      <c r="T146" s="44">
        <f>T147+T158+T154</f>
        <v>4024856.8</v>
      </c>
      <c r="U146" s="44">
        <f>U147+U158+U154</f>
        <v>63000</v>
      </c>
      <c r="V146" s="45">
        <f t="shared" si="195"/>
        <v>0.85399999999999998</v>
      </c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</row>
    <row r="147" spans="1:101" ht="48.75" customHeight="1">
      <c r="A147" s="10" t="s">
        <v>87</v>
      </c>
      <c r="B147" s="24" t="s">
        <v>307</v>
      </c>
      <c r="C147" s="57" t="s">
        <v>12</v>
      </c>
      <c r="D147" s="57" t="s">
        <v>12</v>
      </c>
      <c r="E147" s="57" t="s">
        <v>12</v>
      </c>
      <c r="F147" s="27">
        <f t="shared" si="191"/>
        <v>6116879.4000000004</v>
      </c>
      <c r="G147" s="26">
        <f>SUM(G149:G153)</f>
        <v>3451065.8</v>
      </c>
      <c r="H147" s="26">
        <f t="shared" ref="H147:I147" si="209">SUM(H149:H153)</f>
        <v>2391664.4</v>
      </c>
      <c r="I147" s="26">
        <f t="shared" si="209"/>
        <v>274149.2</v>
      </c>
      <c r="J147" s="27">
        <f t="shared" si="206"/>
        <v>5433473</v>
      </c>
      <c r="K147" s="26">
        <f>SUM(K149:K153)</f>
        <v>2993723.1</v>
      </c>
      <c r="L147" s="26">
        <f t="shared" ref="L147:M147" si="210">SUM(L149:L153)</f>
        <v>2216464.4</v>
      </c>
      <c r="M147" s="26">
        <f t="shared" si="210"/>
        <v>223285.5</v>
      </c>
      <c r="N147" s="26">
        <f t="shared" si="207"/>
        <v>5898348.5999999996</v>
      </c>
      <c r="O147" s="26">
        <f>SUM(O149:O153)</f>
        <v>2505477.6</v>
      </c>
      <c r="P147" s="27">
        <f t="shared" ref="P147:Q147" si="211">SUM(P149:P153)</f>
        <v>3329693.2</v>
      </c>
      <c r="Q147" s="27">
        <f t="shared" si="211"/>
        <v>63177.8</v>
      </c>
      <c r="R147" s="26">
        <f t="shared" si="208"/>
        <v>7859352.7999999998</v>
      </c>
      <c r="S147" s="27">
        <f>SUM(S149:S153)</f>
        <v>3926910.8</v>
      </c>
      <c r="T147" s="27">
        <f t="shared" ref="T147:U147" si="212">SUM(T149:T153)</f>
        <v>3869442</v>
      </c>
      <c r="U147" s="27">
        <f t="shared" si="212"/>
        <v>63000</v>
      </c>
      <c r="V147" s="28">
        <f t="shared" si="195"/>
        <v>0.88800000000000001</v>
      </c>
    </row>
    <row r="148" spans="1:101" ht="18.75">
      <c r="A148" s="13"/>
      <c r="B148" s="30" t="s">
        <v>15</v>
      </c>
      <c r="C148" s="56"/>
      <c r="D148" s="56"/>
      <c r="E148" s="56"/>
      <c r="F148" s="26"/>
      <c r="G148" s="26"/>
      <c r="H148" s="26"/>
      <c r="I148" s="26"/>
      <c r="J148" s="27"/>
      <c r="K148" s="26"/>
      <c r="L148" s="26"/>
      <c r="M148" s="26"/>
      <c r="N148" s="26"/>
      <c r="O148" s="26"/>
      <c r="P148" s="27"/>
      <c r="Q148" s="27"/>
      <c r="R148" s="26"/>
      <c r="S148" s="27"/>
      <c r="T148" s="27"/>
      <c r="U148" s="27"/>
      <c r="V148" s="37"/>
    </row>
    <row r="149" spans="1:101" ht="81" customHeight="1">
      <c r="A149" s="38"/>
      <c r="B149" s="40" t="s">
        <v>302</v>
      </c>
      <c r="C149" s="35" t="s">
        <v>306</v>
      </c>
      <c r="D149" s="35" t="s">
        <v>88</v>
      </c>
      <c r="E149" s="34" t="s">
        <v>304</v>
      </c>
      <c r="F149" s="27">
        <f t="shared" si="191"/>
        <v>604201.6</v>
      </c>
      <c r="G149" s="26"/>
      <c r="H149" s="26">
        <v>604201.6</v>
      </c>
      <c r="I149" s="26"/>
      <c r="J149" s="27">
        <f t="shared" si="206"/>
        <v>604201.6</v>
      </c>
      <c r="K149" s="26"/>
      <c r="L149" s="26">
        <v>604201.6</v>
      </c>
      <c r="M149" s="26"/>
      <c r="N149" s="26">
        <f t="shared" ref="N149:N152" si="213">O149+P149+Q149</f>
        <v>684615.7</v>
      </c>
      <c r="O149" s="26"/>
      <c r="P149" s="27">
        <v>684615.7</v>
      </c>
      <c r="Q149" s="27"/>
      <c r="R149" s="26">
        <f t="shared" ref="R149:R153" si="214">S149+T149+U149</f>
        <v>0</v>
      </c>
      <c r="S149" s="27"/>
      <c r="T149" s="27"/>
      <c r="U149" s="27"/>
      <c r="V149" s="62">
        <f t="shared" si="195"/>
        <v>1</v>
      </c>
    </row>
    <row r="150" spans="1:101" ht="69.75" customHeight="1">
      <c r="A150" s="38"/>
      <c r="B150" s="40" t="s">
        <v>355</v>
      </c>
      <c r="C150" s="35" t="s">
        <v>306</v>
      </c>
      <c r="D150" s="35" t="s">
        <v>88</v>
      </c>
      <c r="E150" s="34" t="s">
        <v>356</v>
      </c>
      <c r="F150" s="27">
        <f t="shared" si="191"/>
        <v>684614.5</v>
      </c>
      <c r="G150" s="26"/>
      <c r="H150" s="26">
        <v>684614.5</v>
      </c>
      <c r="I150" s="26"/>
      <c r="J150" s="27">
        <f t="shared" si="206"/>
        <v>509414.5</v>
      </c>
      <c r="K150" s="26"/>
      <c r="L150" s="26">
        <v>509414.5</v>
      </c>
      <c r="M150" s="26"/>
      <c r="N150" s="26">
        <f t="shared" si="213"/>
        <v>0</v>
      </c>
      <c r="O150" s="26"/>
      <c r="P150" s="27"/>
      <c r="Q150" s="27"/>
      <c r="R150" s="26">
        <f t="shared" si="214"/>
        <v>0</v>
      </c>
      <c r="S150" s="27"/>
      <c r="T150" s="27"/>
      <c r="U150" s="27"/>
      <c r="V150" s="62">
        <f t="shared" si="195"/>
        <v>0.74399999999999999</v>
      </c>
    </row>
    <row r="151" spans="1:101" ht="56.25" customHeight="1">
      <c r="A151" s="38"/>
      <c r="B151" s="40" t="s">
        <v>253</v>
      </c>
      <c r="C151" s="35" t="s">
        <v>257</v>
      </c>
      <c r="D151" s="35" t="s">
        <v>17</v>
      </c>
      <c r="E151" s="34" t="s">
        <v>159</v>
      </c>
      <c r="F151" s="27">
        <f t="shared" si="191"/>
        <v>0</v>
      </c>
      <c r="G151" s="26">
        <f>367.5-367.5</f>
        <v>0</v>
      </c>
      <c r="H151" s="26"/>
      <c r="I151" s="26"/>
      <c r="J151" s="27">
        <f t="shared" si="206"/>
        <v>0</v>
      </c>
      <c r="K151" s="26"/>
      <c r="L151" s="26"/>
      <c r="M151" s="26"/>
      <c r="N151" s="26">
        <f t="shared" si="213"/>
        <v>0</v>
      </c>
      <c r="O151" s="26">
        <f>367.5-367.5</f>
        <v>0</v>
      </c>
      <c r="P151" s="27"/>
      <c r="Q151" s="27"/>
      <c r="R151" s="26">
        <f t="shared" si="214"/>
        <v>0</v>
      </c>
      <c r="S151" s="27">
        <f>367.5-367.5</f>
        <v>0</v>
      </c>
      <c r="T151" s="27"/>
      <c r="U151" s="27"/>
      <c r="V151" s="62" t="e">
        <f t="shared" si="195"/>
        <v>#DIV/0!</v>
      </c>
    </row>
    <row r="152" spans="1:101" ht="69" customHeight="1">
      <c r="A152" s="38"/>
      <c r="B152" s="40" t="s">
        <v>253</v>
      </c>
      <c r="C152" s="35" t="s">
        <v>306</v>
      </c>
      <c r="D152" s="35" t="s">
        <v>88</v>
      </c>
      <c r="E152" s="34" t="s">
        <v>159</v>
      </c>
      <c r="F152" s="27">
        <f t="shared" si="191"/>
        <v>780000</v>
      </c>
      <c r="G152" s="26">
        <f>1074050.1-567050.1</f>
        <v>507000</v>
      </c>
      <c r="H152" s="26"/>
      <c r="I152" s="26">
        <v>273000</v>
      </c>
      <c r="J152" s="27">
        <f t="shared" si="206"/>
        <v>729392.6</v>
      </c>
      <c r="K152" s="26">
        <v>506229</v>
      </c>
      <c r="L152" s="26"/>
      <c r="M152" s="26">
        <v>223163.6</v>
      </c>
      <c r="N152" s="26">
        <f t="shared" si="213"/>
        <v>157015</v>
      </c>
      <c r="O152" s="26">
        <v>94015</v>
      </c>
      <c r="P152" s="27"/>
      <c r="Q152" s="27">
        <v>63000</v>
      </c>
      <c r="R152" s="26">
        <f t="shared" si="214"/>
        <v>157015</v>
      </c>
      <c r="S152" s="27">
        <v>94015</v>
      </c>
      <c r="T152" s="27"/>
      <c r="U152" s="27">
        <v>63000</v>
      </c>
      <c r="V152" s="62">
        <f t="shared" si="195"/>
        <v>0.93500000000000005</v>
      </c>
    </row>
    <row r="153" spans="1:101" ht="74.25" customHeight="1">
      <c r="A153" s="38"/>
      <c r="B153" s="40" t="s">
        <v>303</v>
      </c>
      <c r="C153" s="35" t="s">
        <v>306</v>
      </c>
      <c r="D153" s="35" t="s">
        <v>88</v>
      </c>
      <c r="E153" s="34" t="s">
        <v>305</v>
      </c>
      <c r="F153" s="27">
        <f t="shared" si="191"/>
        <v>4048063.3</v>
      </c>
      <c r="G153" s="78">
        <v>2944065.8</v>
      </c>
      <c r="H153" s="78">
        <v>1102848.3</v>
      </c>
      <c r="I153" s="78">
        <v>1149.2</v>
      </c>
      <c r="J153" s="27">
        <f t="shared" ref="J153:J154" si="215">K153+L153+M153</f>
        <v>3590464.3</v>
      </c>
      <c r="K153" s="78">
        <v>2487494.1</v>
      </c>
      <c r="L153" s="78">
        <v>1102848.3</v>
      </c>
      <c r="M153" s="78">
        <v>121.9</v>
      </c>
      <c r="N153" s="26">
        <f t="shared" ref="N153:N154" si="216">O153+P153+Q153</f>
        <v>5056717.9000000004</v>
      </c>
      <c r="O153" s="78">
        <v>2411462.6</v>
      </c>
      <c r="P153" s="32">
        <v>2645077.5</v>
      </c>
      <c r="Q153" s="32">
        <v>177.8</v>
      </c>
      <c r="R153" s="26">
        <f t="shared" si="214"/>
        <v>7702337.7999999998</v>
      </c>
      <c r="S153" s="32">
        <v>3832895.8</v>
      </c>
      <c r="T153" s="32">
        <v>3869442</v>
      </c>
      <c r="U153" s="32"/>
      <c r="V153" s="62">
        <f t="shared" si="195"/>
        <v>0.88700000000000001</v>
      </c>
    </row>
    <row r="154" spans="1:101" ht="36.75" customHeight="1">
      <c r="A154" s="10" t="s">
        <v>180</v>
      </c>
      <c r="B154" s="24" t="s">
        <v>308</v>
      </c>
      <c r="C154" s="36" t="s">
        <v>12</v>
      </c>
      <c r="D154" s="36" t="s">
        <v>12</v>
      </c>
      <c r="E154" s="36" t="s">
        <v>12</v>
      </c>
      <c r="F154" s="26">
        <f t="shared" si="191"/>
        <v>218049.8</v>
      </c>
      <c r="G154" s="26">
        <f>SUM(G156:G157)</f>
        <v>82068.3</v>
      </c>
      <c r="H154" s="26">
        <f>SUM(H156:H157)</f>
        <v>135981.5</v>
      </c>
      <c r="I154" s="26">
        <f>SUM(I156:I157)</f>
        <v>0</v>
      </c>
      <c r="J154" s="26">
        <f t="shared" si="215"/>
        <v>30348.7</v>
      </c>
      <c r="K154" s="26">
        <f>SUM(K156:K157)</f>
        <v>30348.7</v>
      </c>
      <c r="L154" s="26">
        <f>SUM(L156:L157)</f>
        <v>0</v>
      </c>
      <c r="M154" s="26">
        <f>SUM(M156:M157)</f>
        <v>0</v>
      </c>
      <c r="N154" s="26">
        <f t="shared" si="216"/>
        <v>237414.8</v>
      </c>
      <c r="O154" s="26">
        <f>SUM(O156:O157)</f>
        <v>82000</v>
      </c>
      <c r="P154" s="27">
        <f>SUM(P156:P157)</f>
        <v>155414.79999999999</v>
      </c>
      <c r="Q154" s="27">
        <f>SUM(Q156:Q157)</f>
        <v>0</v>
      </c>
      <c r="R154" s="26">
        <f t="shared" ref="R154" si="217">S154+T154+U154</f>
        <v>205414.8</v>
      </c>
      <c r="S154" s="27">
        <f>SUM(S156:S157)</f>
        <v>50000</v>
      </c>
      <c r="T154" s="27">
        <f>SUM(T156:T157)</f>
        <v>155414.79999999999</v>
      </c>
      <c r="U154" s="27">
        <f>SUM(U156:U157)</f>
        <v>0</v>
      </c>
      <c r="V154" s="28">
        <f t="shared" si="195"/>
        <v>0.13900000000000001</v>
      </c>
    </row>
    <row r="155" spans="1:101" ht="18.75">
      <c r="A155" s="13"/>
      <c r="B155" s="30" t="s">
        <v>15</v>
      </c>
      <c r="C155" s="56"/>
      <c r="D155" s="56"/>
      <c r="E155" s="56"/>
      <c r="F155" s="27"/>
      <c r="G155" s="78"/>
      <c r="H155" s="78"/>
      <c r="I155" s="78"/>
      <c r="J155" s="27"/>
      <c r="K155" s="78"/>
      <c r="L155" s="78"/>
      <c r="M155" s="78"/>
      <c r="N155" s="26"/>
      <c r="O155" s="78"/>
      <c r="P155" s="32"/>
      <c r="Q155" s="32"/>
      <c r="R155" s="26"/>
      <c r="S155" s="32"/>
      <c r="T155" s="32"/>
      <c r="U155" s="32"/>
      <c r="V155" s="62"/>
    </row>
    <row r="156" spans="1:101" ht="71.25" customHeight="1">
      <c r="A156" s="38"/>
      <c r="B156" s="40" t="s">
        <v>253</v>
      </c>
      <c r="C156" s="34" t="s">
        <v>306</v>
      </c>
      <c r="D156" s="35" t="s">
        <v>88</v>
      </c>
      <c r="E156" s="34" t="s">
        <v>216</v>
      </c>
      <c r="F156" s="27">
        <f t="shared" si="191"/>
        <v>66644.600000000006</v>
      </c>
      <c r="G156" s="78">
        <v>66644.600000000006</v>
      </c>
      <c r="H156" s="78"/>
      <c r="I156" s="78"/>
      <c r="J156" s="27">
        <f t="shared" ref="J156:J158" si="218">K156+L156+M156</f>
        <v>14925</v>
      </c>
      <c r="K156" s="78">
        <v>14925</v>
      </c>
      <c r="L156" s="78"/>
      <c r="M156" s="78"/>
      <c r="N156" s="26">
        <f t="shared" ref="N156:N158" si="219">O156+P156+Q156</f>
        <v>82000</v>
      </c>
      <c r="O156" s="78">
        <f>42000+40000</f>
        <v>82000</v>
      </c>
      <c r="P156" s="32"/>
      <c r="Q156" s="32"/>
      <c r="R156" s="26">
        <f t="shared" ref="R156:R158" si="220">S156+T156+U156</f>
        <v>50000</v>
      </c>
      <c r="S156" s="32">
        <v>50000</v>
      </c>
      <c r="T156" s="32"/>
      <c r="U156" s="32"/>
      <c r="V156" s="62">
        <f t="shared" si="195"/>
        <v>0.224</v>
      </c>
    </row>
    <row r="157" spans="1:101" ht="85.5" customHeight="1">
      <c r="A157" s="38"/>
      <c r="B157" s="40" t="s">
        <v>184</v>
      </c>
      <c r="C157" s="34" t="s">
        <v>306</v>
      </c>
      <c r="D157" s="35" t="s">
        <v>88</v>
      </c>
      <c r="E157" s="34" t="s">
        <v>183</v>
      </c>
      <c r="F157" s="27">
        <f t="shared" si="191"/>
        <v>151405.20000000001</v>
      </c>
      <c r="G157" s="78">
        <v>15423.7</v>
      </c>
      <c r="H157" s="78">
        <v>135981.5</v>
      </c>
      <c r="I157" s="78"/>
      <c r="J157" s="27">
        <f t="shared" si="218"/>
        <v>15423.7</v>
      </c>
      <c r="K157" s="78">
        <v>15423.7</v>
      </c>
      <c r="L157" s="78"/>
      <c r="M157" s="78"/>
      <c r="N157" s="26">
        <f t="shared" si="219"/>
        <v>155414.79999999999</v>
      </c>
      <c r="O157" s="78"/>
      <c r="P157" s="32">
        <v>155414.79999999999</v>
      </c>
      <c r="Q157" s="32"/>
      <c r="R157" s="26">
        <f t="shared" si="220"/>
        <v>155414.79999999999</v>
      </c>
      <c r="S157" s="32"/>
      <c r="T157" s="32">
        <v>155414.79999999999</v>
      </c>
      <c r="U157" s="32"/>
      <c r="V157" s="62">
        <f t="shared" si="195"/>
        <v>0.10199999999999999</v>
      </c>
    </row>
    <row r="158" spans="1:101" s="7" customFormat="1" ht="38.25" customHeight="1">
      <c r="A158" s="23" t="s">
        <v>189</v>
      </c>
      <c r="B158" s="47" t="s">
        <v>309</v>
      </c>
      <c r="C158" s="25" t="s">
        <v>12</v>
      </c>
      <c r="D158" s="25" t="s">
        <v>12</v>
      </c>
      <c r="E158" s="25" t="s">
        <v>12</v>
      </c>
      <c r="F158" s="27">
        <f t="shared" si="191"/>
        <v>195495.8</v>
      </c>
      <c r="G158" s="26">
        <f>SUM(G160:G162)</f>
        <v>195495.8</v>
      </c>
      <c r="H158" s="26">
        <f>SUM(H160:H162)</f>
        <v>0</v>
      </c>
      <c r="I158" s="26">
        <f>SUM(I160:I162)</f>
        <v>0</v>
      </c>
      <c r="J158" s="27">
        <f t="shared" si="218"/>
        <v>110761.60000000001</v>
      </c>
      <c r="K158" s="26">
        <f>SUM(K160:K162)</f>
        <v>110761.60000000001</v>
      </c>
      <c r="L158" s="26">
        <f>SUM(L160:L162)</f>
        <v>0</v>
      </c>
      <c r="M158" s="26">
        <f>SUM(M160:M162)</f>
        <v>0</v>
      </c>
      <c r="N158" s="27">
        <f t="shared" si="219"/>
        <v>172195.5</v>
      </c>
      <c r="O158" s="26">
        <f>SUM(O160:O162)</f>
        <v>172195.5</v>
      </c>
      <c r="P158" s="27">
        <f>SUM(P160:P162)</f>
        <v>0</v>
      </c>
      <c r="Q158" s="27">
        <f>SUM(Q160:Q162)</f>
        <v>0</v>
      </c>
      <c r="R158" s="27">
        <f t="shared" si="220"/>
        <v>174380</v>
      </c>
      <c r="S158" s="27">
        <f>SUM(S160:S162)</f>
        <v>174380</v>
      </c>
      <c r="T158" s="27">
        <f>SUM(T160:T162)</f>
        <v>0</v>
      </c>
      <c r="U158" s="27">
        <f>SUM(U160:U162)</f>
        <v>0</v>
      </c>
      <c r="V158" s="37">
        <f t="shared" si="195"/>
        <v>0.56699999999999995</v>
      </c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</row>
    <row r="159" spans="1:101" ht="22.5" customHeight="1">
      <c r="A159" s="13"/>
      <c r="B159" s="30" t="s">
        <v>15</v>
      </c>
      <c r="C159" s="56"/>
      <c r="D159" s="56"/>
      <c r="E159" s="56"/>
      <c r="F159" s="27"/>
      <c r="G159" s="26"/>
      <c r="H159" s="26"/>
      <c r="I159" s="26"/>
      <c r="J159" s="27"/>
      <c r="K159" s="26"/>
      <c r="L159" s="26"/>
      <c r="M159" s="26"/>
      <c r="N159" s="26"/>
      <c r="O159" s="26"/>
      <c r="P159" s="27"/>
      <c r="Q159" s="27"/>
      <c r="R159" s="26"/>
      <c r="S159" s="27"/>
      <c r="T159" s="27"/>
      <c r="U159" s="27"/>
      <c r="V159" s="37"/>
    </row>
    <row r="160" spans="1:101" ht="56.25" customHeight="1">
      <c r="A160" s="38"/>
      <c r="B160" s="40" t="s">
        <v>253</v>
      </c>
      <c r="C160" s="34" t="s">
        <v>280</v>
      </c>
      <c r="D160" s="35" t="s">
        <v>48</v>
      </c>
      <c r="E160" s="34" t="s">
        <v>179</v>
      </c>
      <c r="F160" s="27">
        <f t="shared" si="191"/>
        <v>3012.5</v>
      </c>
      <c r="G160" s="78">
        <v>3012.5</v>
      </c>
      <c r="H160" s="78"/>
      <c r="I160" s="78"/>
      <c r="J160" s="27">
        <f t="shared" ref="J160:J164" si="221">K160+L160+M160</f>
        <v>2971.8</v>
      </c>
      <c r="K160" s="78">
        <v>2971.8</v>
      </c>
      <c r="L160" s="78"/>
      <c r="M160" s="78"/>
      <c r="N160" s="26">
        <f t="shared" ref="N160:N164" si="222">O160+P160+Q160</f>
        <v>3012.5</v>
      </c>
      <c r="O160" s="78">
        <v>3012.5</v>
      </c>
      <c r="P160" s="32"/>
      <c r="Q160" s="32"/>
      <c r="R160" s="26">
        <f t="shared" ref="R160:R164" si="223">S160+T160+U160</f>
        <v>3012.5</v>
      </c>
      <c r="S160" s="32">
        <v>3012.5</v>
      </c>
      <c r="T160" s="32"/>
      <c r="U160" s="32"/>
      <c r="V160" s="62">
        <f t="shared" si="195"/>
        <v>0.98599999999999999</v>
      </c>
    </row>
    <row r="161" spans="1:101" ht="58.5" customHeight="1">
      <c r="A161" s="38"/>
      <c r="B161" s="40" t="s">
        <v>253</v>
      </c>
      <c r="C161" s="34">
        <v>811</v>
      </c>
      <c r="D161" s="35" t="s">
        <v>17</v>
      </c>
      <c r="E161" s="34" t="s">
        <v>179</v>
      </c>
      <c r="F161" s="27">
        <f t="shared" si="191"/>
        <v>367.5</v>
      </c>
      <c r="G161" s="78">
        <v>367.5</v>
      </c>
      <c r="H161" s="78"/>
      <c r="I161" s="78"/>
      <c r="J161" s="27">
        <f t="shared" si="221"/>
        <v>365.8</v>
      </c>
      <c r="K161" s="78">
        <v>365.8</v>
      </c>
      <c r="L161" s="78"/>
      <c r="M161" s="78"/>
      <c r="N161" s="26">
        <f t="shared" si="222"/>
        <v>367.5</v>
      </c>
      <c r="O161" s="78">
        <v>367.5</v>
      </c>
      <c r="P161" s="32"/>
      <c r="Q161" s="32"/>
      <c r="R161" s="26">
        <f t="shared" si="223"/>
        <v>367.5</v>
      </c>
      <c r="S161" s="32">
        <v>367.5</v>
      </c>
      <c r="T161" s="32"/>
      <c r="U161" s="32"/>
      <c r="V161" s="62">
        <f t="shared" si="195"/>
        <v>0.995</v>
      </c>
    </row>
    <row r="162" spans="1:101" ht="69.75" customHeight="1">
      <c r="A162" s="38"/>
      <c r="B162" s="40" t="s">
        <v>253</v>
      </c>
      <c r="C162" s="34" t="s">
        <v>306</v>
      </c>
      <c r="D162" s="35" t="s">
        <v>88</v>
      </c>
      <c r="E162" s="34" t="s">
        <v>179</v>
      </c>
      <c r="F162" s="27">
        <f t="shared" si="191"/>
        <v>192115.8</v>
      </c>
      <c r="G162" s="78">
        <v>192115.8</v>
      </c>
      <c r="H162" s="78"/>
      <c r="I162" s="78"/>
      <c r="J162" s="27">
        <f t="shared" si="221"/>
        <v>107424</v>
      </c>
      <c r="K162" s="78">
        <v>107424</v>
      </c>
      <c r="L162" s="78"/>
      <c r="M162" s="78"/>
      <c r="N162" s="26">
        <f t="shared" si="222"/>
        <v>168815.5</v>
      </c>
      <c r="O162" s="78">
        <v>168815.5</v>
      </c>
      <c r="P162" s="32"/>
      <c r="Q162" s="32"/>
      <c r="R162" s="26">
        <f t="shared" si="223"/>
        <v>171000</v>
      </c>
      <c r="S162" s="32">
        <v>171000</v>
      </c>
      <c r="T162" s="32"/>
      <c r="U162" s="32"/>
      <c r="V162" s="62">
        <f t="shared" si="195"/>
        <v>0.55900000000000005</v>
      </c>
    </row>
    <row r="163" spans="1:101" s="65" customFormat="1" ht="28.5" customHeight="1">
      <c r="A163" s="18" t="s">
        <v>89</v>
      </c>
      <c r="B163" s="19" t="s">
        <v>90</v>
      </c>
      <c r="C163" s="20" t="s">
        <v>12</v>
      </c>
      <c r="D163" s="20" t="s">
        <v>12</v>
      </c>
      <c r="E163" s="20" t="s">
        <v>12</v>
      </c>
      <c r="F163" s="44">
        <f>G163+H163+I163</f>
        <v>174674.8</v>
      </c>
      <c r="G163" s="44">
        <f>G164+G176+G181</f>
        <v>34052.699999999997</v>
      </c>
      <c r="H163" s="44">
        <f t="shared" ref="H163" si="224">H164+H176+H181</f>
        <v>131251.6</v>
      </c>
      <c r="I163" s="44">
        <f>I164+I176+I181</f>
        <v>9370.5</v>
      </c>
      <c r="J163" s="44">
        <f t="shared" si="221"/>
        <v>88248.3</v>
      </c>
      <c r="K163" s="44">
        <f>K164+K176+K181</f>
        <v>21126.6</v>
      </c>
      <c r="L163" s="44">
        <f t="shared" ref="L163:M163" si="225">L164+L176+L181</f>
        <v>59897.9</v>
      </c>
      <c r="M163" s="44">
        <f t="shared" si="225"/>
        <v>7223.8</v>
      </c>
      <c r="N163" s="44">
        <f t="shared" si="222"/>
        <v>261417</v>
      </c>
      <c r="O163" s="44">
        <f>O164+O176+O181</f>
        <v>51211.8</v>
      </c>
      <c r="P163" s="44">
        <f t="shared" ref="P163:Q163" si="226">P164+P176+P181</f>
        <v>209029.5</v>
      </c>
      <c r="Q163" s="44">
        <f t="shared" si="226"/>
        <v>1175.7</v>
      </c>
      <c r="R163" s="44">
        <f t="shared" si="223"/>
        <v>356103.2</v>
      </c>
      <c r="S163" s="44">
        <f>S164+S176+S181</f>
        <v>26726</v>
      </c>
      <c r="T163" s="44">
        <f t="shared" ref="T163:U163" si="227">T164+T176+T181</f>
        <v>329335.59999999998</v>
      </c>
      <c r="U163" s="44">
        <f t="shared" si="227"/>
        <v>41.6</v>
      </c>
      <c r="V163" s="45">
        <f t="shared" si="195"/>
        <v>0.505</v>
      </c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</row>
    <row r="164" spans="1:101" ht="35.25" customHeight="1">
      <c r="A164" s="10" t="s">
        <v>91</v>
      </c>
      <c r="B164" s="24" t="s">
        <v>92</v>
      </c>
      <c r="C164" s="36" t="s">
        <v>12</v>
      </c>
      <c r="D164" s="36" t="s">
        <v>12</v>
      </c>
      <c r="E164" s="36" t="s">
        <v>12</v>
      </c>
      <c r="F164" s="27">
        <f t="shared" si="191"/>
        <v>154481.1</v>
      </c>
      <c r="G164" s="26">
        <f>SUM(G166:G175)</f>
        <v>20859</v>
      </c>
      <c r="H164" s="26">
        <f t="shared" ref="H164:I164" si="228">SUM(H166:H175)</f>
        <v>124251.6</v>
      </c>
      <c r="I164" s="26">
        <f t="shared" si="228"/>
        <v>9370.5</v>
      </c>
      <c r="J164" s="27">
        <f t="shared" si="221"/>
        <v>68054.600000000006</v>
      </c>
      <c r="K164" s="26">
        <f>SUM(K166:K175)</f>
        <v>7932.9</v>
      </c>
      <c r="L164" s="26">
        <f t="shared" ref="L164" si="229">SUM(L166:L175)</f>
        <v>52897.9</v>
      </c>
      <c r="M164" s="26">
        <f>SUM(M166:M175)</f>
        <v>7223.8</v>
      </c>
      <c r="N164" s="26">
        <f t="shared" si="222"/>
        <v>258881.2</v>
      </c>
      <c r="O164" s="26">
        <f>SUM(O166:O175)</f>
        <v>50017.599999999999</v>
      </c>
      <c r="P164" s="27">
        <f t="shared" ref="P164:Q164" si="230">SUM(P166:P175)</f>
        <v>207729.5</v>
      </c>
      <c r="Q164" s="27">
        <f t="shared" si="230"/>
        <v>1134.0999999999999</v>
      </c>
      <c r="R164" s="26">
        <f t="shared" si="223"/>
        <v>340567.4</v>
      </c>
      <c r="S164" s="27">
        <f>SUM(S166:S175)</f>
        <v>12531.8</v>
      </c>
      <c r="T164" s="27">
        <f t="shared" ref="T164:U164" si="231">SUM(T166:T175)</f>
        <v>328035.59999999998</v>
      </c>
      <c r="U164" s="27">
        <f t="shared" si="231"/>
        <v>0</v>
      </c>
      <c r="V164" s="37">
        <f t="shared" si="195"/>
        <v>0.441</v>
      </c>
    </row>
    <row r="165" spans="1:101" ht="18.75">
      <c r="A165" s="13"/>
      <c r="B165" s="30" t="s">
        <v>15</v>
      </c>
      <c r="C165" s="56"/>
      <c r="D165" s="56"/>
      <c r="E165" s="56"/>
      <c r="F165" s="27"/>
      <c r="G165" s="26"/>
      <c r="H165" s="26"/>
      <c r="I165" s="26"/>
      <c r="J165" s="27"/>
      <c r="K165" s="26"/>
      <c r="L165" s="26"/>
      <c r="M165" s="26"/>
      <c r="N165" s="26"/>
      <c r="O165" s="26"/>
      <c r="P165" s="27"/>
      <c r="Q165" s="27"/>
      <c r="R165" s="26"/>
      <c r="S165" s="27"/>
      <c r="T165" s="27"/>
      <c r="U165" s="27"/>
      <c r="V165" s="37"/>
    </row>
    <row r="166" spans="1:101" ht="71.25" customHeight="1">
      <c r="A166" s="38"/>
      <c r="B166" s="40" t="s">
        <v>225</v>
      </c>
      <c r="C166" s="35" t="s">
        <v>314</v>
      </c>
      <c r="D166" s="35" t="s">
        <v>93</v>
      </c>
      <c r="E166" s="34" t="s">
        <v>145</v>
      </c>
      <c r="F166" s="27">
        <f t="shared" si="191"/>
        <v>15764.5</v>
      </c>
      <c r="G166" s="26"/>
      <c r="H166" s="26">
        <v>10000</v>
      </c>
      <c r="I166" s="26">
        <v>5764.5</v>
      </c>
      <c r="J166" s="27">
        <f t="shared" ref="J166:J175" si="232">K166+L166+M166</f>
        <v>15764.5</v>
      </c>
      <c r="K166" s="26"/>
      <c r="L166" s="26">
        <v>10000</v>
      </c>
      <c r="M166" s="26">
        <v>5764.5</v>
      </c>
      <c r="N166" s="27">
        <f t="shared" ref="N166:N175" si="233">O166+P166+Q166</f>
        <v>0</v>
      </c>
      <c r="O166" s="26"/>
      <c r="P166" s="27">
        <v>0</v>
      </c>
      <c r="Q166" s="27"/>
      <c r="R166" s="27">
        <f t="shared" ref="R166:R175" si="234">S166+T166+U166</f>
        <v>0</v>
      </c>
      <c r="S166" s="27"/>
      <c r="T166" s="27">
        <v>0</v>
      </c>
      <c r="U166" s="27"/>
      <c r="V166" s="62">
        <f t="shared" si="195"/>
        <v>1</v>
      </c>
    </row>
    <row r="167" spans="1:101" ht="68.25" customHeight="1">
      <c r="A167" s="38"/>
      <c r="B167" s="40" t="s">
        <v>147</v>
      </c>
      <c r="C167" s="34" t="s">
        <v>273</v>
      </c>
      <c r="D167" s="35" t="s">
        <v>146</v>
      </c>
      <c r="E167" s="34" t="s">
        <v>148</v>
      </c>
      <c r="F167" s="27">
        <f t="shared" si="191"/>
        <v>0</v>
      </c>
      <c r="G167" s="78">
        <v>0</v>
      </c>
      <c r="H167" s="78">
        <v>0</v>
      </c>
      <c r="I167" s="78"/>
      <c r="J167" s="27">
        <f t="shared" si="232"/>
        <v>0</v>
      </c>
      <c r="K167" s="78"/>
      <c r="L167" s="78"/>
      <c r="M167" s="78"/>
      <c r="N167" s="27">
        <f t="shared" si="233"/>
        <v>185886.1</v>
      </c>
      <c r="O167" s="78">
        <v>5576.6</v>
      </c>
      <c r="P167" s="32">
        <v>180309.5</v>
      </c>
      <c r="Q167" s="32"/>
      <c r="R167" s="27">
        <f t="shared" si="234"/>
        <v>307054.2</v>
      </c>
      <c r="S167" s="32">
        <v>9211.6</v>
      </c>
      <c r="T167" s="32">
        <v>297842.59999999998</v>
      </c>
      <c r="U167" s="32"/>
      <c r="V167" s="62" t="e">
        <f t="shared" si="195"/>
        <v>#DIV/0!</v>
      </c>
    </row>
    <row r="168" spans="1:101" ht="66.75" customHeight="1">
      <c r="A168" s="38"/>
      <c r="B168" s="40" t="s">
        <v>310</v>
      </c>
      <c r="C168" s="34" t="s">
        <v>258</v>
      </c>
      <c r="D168" s="35" t="s">
        <v>19</v>
      </c>
      <c r="E168" s="34" t="s">
        <v>312</v>
      </c>
      <c r="F168" s="27">
        <f t="shared" si="191"/>
        <v>36283.199999999997</v>
      </c>
      <c r="G168" s="78">
        <v>4481</v>
      </c>
      <c r="H168" s="78">
        <v>29988</v>
      </c>
      <c r="I168" s="78">
        <v>1814.2</v>
      </c>
      <c r="J168" s="27">
        <f t="shared" si="232"/>
        <v>16349.1</v>
      </c>
      <c r="K168" s="78">
        <v>2019.1</v>
      </c>
      <c r="L168" s="78">
        <v>13512.5</v>
      </c>
      <c r="M168" s="78">
        <v>817.5</v>
      </c>
      <c r="N168" s="27">
        <f t="shared" si="233"/>
        <v>0</v>
      </c>
      <c r="O168" s="78">
        <v>0</v>
      </c>
      <c r="P168" s="32">
        <v>0</v>
      </c>
      <c r="Q168" s="32"/>
      <c r="R168" s="27">
        <f t="shared" si="234"/>
        <v>12782.2</v>
      </c>
      <c r="S168" s="32">
        <v>1661.7</v>
      </c>
      <c r="T168" s="32">
        <v>11120.5</v>
      </c>
      <c r="U168" s="32"/>
      <c r="V168" s="62">
        <f t="shared" si="195"/>
        <v>0.45100000000000001</v>
      </c>
    </row>
    <row r="169" spans="1:101" ht="66.75" customHeight="1">
      <c r="A169" s="38"/>
      <c r="B169" s="40" t="s">
        <v>149</v>
      </c>
      <c r="C169" s="34" t="s">
        <v>258</v>
      </c>
      <c r="D169" s="35" t="s">
        <v>19</v>
      </c>
      <c r="E169" s="34" t="s">
        <v>150</v>
      </c>
      <c r="F169" s="27">
        <f t="shared" ref="F169:F170" si="235">G169+H169+I169</f>
        <v>73734.8</v>
      </c>
      <c r="G169" s="78">
        <v>9436</v>
      </c>
      <c r="H169" s="78">
        <v>63148.800000000003</v>
      </c>
      <c r="I169" s="78">
        <v>1150</v>
      </c>
      <c r="J169" s="27">
        <f t="shared" ref="J169:J170" si="236">K169+L169+M169</f>
        <v>9506.5</v>
      </c>
      <c r="K169" s="78">
        <v>1235.9000000000001</v>
      </c>
      <c r="L169" s="78">
        <v>8270.6</v>
      </c>
      <c r="M169" s="78"/>
      <c r="N169" s="27">
        <f t="shared" ref="N169:N170" si="237">O169+P169+Q169</f>
        <v>44531.7</v>
      </c>
      <c r="O169" s="78">
        <v>43397.599999999999</v>
      </c>
      <c r="P169" s="32">
        <v>0</v>
      </c>
      <c r="Q169" s="32">
        <v>1134.0999999999999</v>
      </c>
      <c r="R169" s="27">
        <f t="shared" ref="R169:R170" si="238">S169+T169+U169</f>
        <v>0</v>
      </c>
      <c r="S169" s="32">
        <v>0</v>
      </c>
      <c r="T169" s="32">
        <v>0</v>
      </c>
      <c r="U169" s="32"/>
      <c r="V169" s="62">
        <f t="shared" si="195"/>
        <v>0.129</v>
      </c>
    </row>
    <row r="170" spans="1:101" ht="66.75" customHeight="1">
      <c r="A170" s="38"/>
      <c r="B170" s="40" t="s">
        <v>376</v>
      </c>
      <c r="C170" s="34">
        <v>821</v>
      </c>
      <c r="D170" s="35" t="s">
        <v>19</v>
      </c>
      <c r="E170" s="34" t="s">
        <v>375</v>
      </c>
      <c r="F170" s="27">
        <f t="shared" si="235"/>
        <v>105.9</v>
      </c>
      <c r="G170" s="78">
        <v>105.9</v>
      </c>
      <c r="H170" s="78"/>
      <c r="I170" s="78"/>
      <c r="J170" s="27">
        <f t="shared" si="236"/>
        <v>0</v>
      </c>
      <c r="K170" s="78"/>
      <c r="L170" s="78"/>
      <c r="M170" s="78"/>
      <c r="N170" s="27">
        <f t="shared" si="237"/>
        <v>0</v>
      </c>
      <c r="O170" s="78"/>
      <c r="P170" s="32"/>
      <c r="Q170" s="32"/>
      <c r="R170" s="27">
        <f t="shared" si="238"/>
        <v>0</v>
      </c>
      <c r="S170" s="32"/>
      <c r="T170" s="32"/>
      <c r="U170" s="32"/>
      <c r="V170" s="62">
        <f t="shared" si="195"/>
        <v>0</v>
      </c>
    </row>
    <row r="171" spans="1:101" ht="70.5" customHeight="1">
      <c r="A171" s="38"/>
      <c r="B171" s="40" t="s">
        <v>207</v>
      </c>
      <c r="C171" s="34" t="s">
        <v>314</v>
      </c>
      <c r="D171" s="35" t="s">
        <v>93</v>
      </c>
      <c r="E171" s="34" t="s">
        <v>206</v>
      </c>
      <c r="F171" s="27">
        <f t="shared" si="191"/>
        <v>23592.7</v>
      </c>
      <c r="G171" s="78">
        <v>1836.1</v>
      </c>
      <c r="H171" s="78">
        <v>21114.799999999999</v>
      </c>
      <c r="I171" s="78">
        <v>641.79999999999995</v>
      </c>
      <c r="J171" s="27">
        <f t="shared" si="232"/>
        <v>23592.7</v>
      </c>
      <c r="K171" s="78">
        <v>1836.1</v>
      </c>
      <c r="L171" s="78">
        <v>21114.799999999999</v>
      </c>
      <c r="M171" s="78">
        <v>641.79999999999995</v>
      </c>
      <c r="N171" s="27">
        <f t="shared" si="233"/>
        <v>0</v>
      </c>
      <c r="O171" s="78">
        <v>0</v>
      </c>
      <c r="P171" s="32">
        <v>0</v>
      </c>
      <c r="Q171" s="32"/>
      <c r="R171" s="27">
        <f t="shared" si="234"/>
        <v>20731</v>
      </c>
      <c r="S171" s="32">
        <v>1658.5</v>
      </c>
      <c r="T171" s="32">
        <v>19072.5</v>
      </c>
      <c r="U171" s="32"/>
      <c r="V171" s="62">
        <f t="shared" si="195"/>
        <v>1</v>
      </c>
    </row>
    <row r="172" spans="1:101" ht="52.5" customHeight="1">
      <c r="A172" s="38"/>
      <c r="B172" s="40" t="s">
        <v>209</v>
      </c>
      <c r="C172" s="34" t="s">
        <v>314</v>
      </c>
      <c r="D172" s="35" t="s">
        <v>93</v>
      </c>
      <c r="E172" s="34" t="s">
        <v>208</v>
      </c>
      <c r="F172" s="27">
        <f t="shared" ref="F172:F173" si="239">G172+H172+I172</f>
        <v>0</v>
      </c>
      <c r="G172" s="78">
        <v>0</v>
      </c>
      <c r="H172" s="78">
        <v>0</v>
      </c>
      <c r="I172" s="78"/>
      <c r="J172" s="27">
        <f t="shared" ref="J172:J173" si="240">K172+L172+M172</f>
        <v>0</v>
      </c>
      <c r="K172" s="78"/>
      <c r="L172" s="78"/>
      <c r="M172" s="78"/>
      <c r="N172" s="27">
        <f t="shared" ref="N172:N173" si="241">O172+P172+Q172</f>
        <v>18989.7</v>
      </c>
      <c r="O172" s="78">
        <v>569.70000000000005</v>
      </c>
      <c r="P172" s="32">
        <v>18420</v>
      </c>
      <c r="Q172" s="32"/>
      <c r="R172" s="27">
        <f t="shared" ref="R172:R173" si="242">S172+T172+U172</f>
        <v>0</v>
      </c>
      <c r="S172" s="32">
        <v>0</v>
      </c>
      <c r="T172" s="32">
        <v>0</v>
      </c>
      <c r="U172" s="32"/>
      <c r="V172" s="62" t="e">
        <f t="shared" si="195"/>
        <v>#DIV/0!</v>
      </c>
    </row>
    <row r="173" spans="1:101" ht="64.5" customHeight="1">
      <c r="A173" s="38"/>
      <c r="B173" s="40" t="s">
        <v>361</v>
      </c>
      <c r="C173" s="34">
        <v>821</v>
      </c>
      <c r="D173" s="35" t="s">
        <v>19</v>
      </c>
      <c r="E173" s="34" t="s">
        <v>362</v>
      </c>
      <c r="F173" s="27">
        <f t="shared" si="239"/>
        <v>0</v>
      </c>
      <c r="G173" s="78"/>
      <c r="H173" s="78"/>
      <c r="I173" s="78"/>
      <c r="J173" s="27">
        <f t="shared" si="240"/>
        <v>0</v>
      </c>
      <c r="K173" s="78"/>
      <c r="L173" s="78"/>
      <c r="M173" s="78"/>
      <c r="N173" s="27">
        <f t="shared" si="241"/>
        <v>0</v>
      </c>
      <c r="O173" s="78"/>
      <c r="P173" s="32"/>
      <c r="Q173" s="32"/>
      <c r="R173" s="27">
        <f t="shared" si="242"/>
        <v>0</v>
      </c>
      <c r="S173" s="32"/>
      <c r="T173" s="32"/>
      <c r="U173" s="32"/>
      <c r="V173" s="62" t="e">
        <f t="shared" si="195"/>
        <v>#DIV/0!</v>
      </c>
    </row>
    <row r="174" spans="1:101" ht="55.5" customHeight="1">
      <c r="A174" s="38"/>
      <c r="B174" s="40" t="s">
        <v>311</v>
      </c>
      <c r="C174" s="34" t="s">
        <v>314</v>
      </c>
      <c r="D174" s="35" t="s">
        <v>93</v>
      </c>
      <c r="E174" s="34" t="s">
        <v>313</v>
      </c>
      <c r="F174" s="27">
        <f t="shared" si="191"/>
        <v>0</v>
      </c>
      <c r="G174" s="78">
        <v>0</v>
      </c>
      <c r="H174" s="78">
        <v>0</v>
      </c>
      <c r="I174" s="78"/>
      <c r="J174" s="27">
        <f t="shared" si="232"/>
        <v>0</v>
      </c>
      <c r="K174" s="78"/>
      <c r="L174" s="78"/>
      <c r="M174" s="78"/>
      <c r="N174" s="27">
        <f t="shared" si="233"/>
        <v>9473.7000000000007</v>
      </c>
      <c r="O174" s="78">
        <v>473.7</v>
      </c>
      <c r="P174" s="32">
        <v>9000</v>
      </c>
      <c r="Q174" s="32"/>
      <c r="R174" s="27">
        <f t="shared" si="234"/>
        <v>0</v>
      </c>
      <c r="S174" s="32">
        <v>0</v>
      </c>
      <c r="T174" s="32">
        <v>0</v>
      </c>
      <c r="U174" s="32"/>
      <c r="V174" s="62" t="e">
        <f t="shared" si="195"/>
        <v>#DIV/0!</v>
      </c>
    </row>
    <row r="175" spans="1:101" ht="57.75" customHeight="1">
      <c r="A175" s="38"/>
      <c r="B175" s="40" t="s">
        <v>363</v>
      </c>
      <c r="C175" s="34">
        <v>814</v>
      </c>
      <c r="D175" s="91" t="s">
        <v>93</v>
      </c>
      <c r="E175" s="34" t="s">
        <v>364</v>
      </c>
      <c r="F175" s="27">
        <f t="shared" si="191"/>
        <v>5000</v>
      </c>
      <c r="G175" s="78">
        <v>5000</v>
      </c>
      <c r="H175" s="78"/>
      <c r="I175" s="78"/>
      <c r="J175" s="27">
        <f t="shared" si="232"/>
        <v>2841.8</v>
      </c>
      <c r="K175" s="78">
        <v>2841.8</v>
      </c>
      <c r="L175" s="78"/>
      <c r="M175" s="78"/>
      <c r="N175" s="27">
        <f t="shared" si="233"/>
        <v>0</v>
      </c>
      <c r="O175" s="78"/>
      <c r="P175" s="32"/>
      <c r="Q175" s="32"/>
      <c r="R175" s="27">
        <f t="shared" si="234"/>
        <v>0</v>
      </c>
      <c r="S175" s="32"/>
      <c r="T175" s="32"/>
      <c r="U175" s="32"/>
      <c r="V175" s="62">
        <f t="shared" si="195"/>
        <v>0.56799999999999995</v>
      </c>
    </row>
    <row r="176" spans="1:101" ht="18.75">
      <c r="A176" s="23" t="s">
        <v>94</v>
      </c>
      <c r="B176" s="47" t="s">
        <v>95</v>
      </c>
      <c r="C176" s="61" t="s">
        <v>12</v>
      </c>
      <c r="D176" s="61" t="s">
        <v>12</v>
      </c>
      <c r="E176" s="61" t="s">
        <v>12</v>
      </c>
      <c r="F176" s="27">
        <f t="shared" si="191"/>
        <v>14493.7</v>
      </c>
      <c r="G176" s="26">
        <f>SUM(G178:G180)</f>
        <v>13193.7</v>
      </c>
      <c r="H176" s="26">
        <f>SUM(H178:H180)</f>
        <v>1300</v>
      </c>
      <c r="I176" s="26">
        <f>SUM(I178:I180)</f>
        <v>0</v>
      </c>
      <c r="J176" s="27">
        <f t="shared" ref="J176" si="243">K176+L176+M176</f>
        <v>14493.7</v>
      </c>
      <c r="K176" s="26">
        <f>SUM(K178:K180)</f>
        <v>13193.7</v>
      </c>
      <c r="L176" s="26">
        <f>SUM(L178:L180)</f>
        <v>1300</v>
      </c>
      <c r="M176" s="26">
        <f>SUM(M178:M180)</f>
        <v>0</v>
      </c>
      <c r="N176" s="27">
        <f t="shared" ref="N176" si="244">O176+P176+Q176</f>
        <v>2535.8000000000002</v>
      </c>
      <c r="O176" s="26">
        <f>SUM(O178:O180)</f>
        <v>1194.2</v>
      </c>
      <c r="P176" s="27">
        <f>SUM(P178:P180)</f>
        <v>1300</v>
      </c>
      <c r="Q176" s="27">
        <f>SUM(Q178:Q180)</f>
        <v>41.6</v>
      </c>
      <c r="R176" s="27">
        <f t="shared" ref="R176" si="245">S176+T176+U176</f>
        <v>15535.8</v>
      </c>
      <c r="S176" s="27">
        <f>SUM(S178:S180)</f>
        <v>14194.2</v>
      </c>
      <c r="T176" s="27">
        <f>SUM(T178:T180)</f>
        <v>1300</v>
      </c>
      <c r="U176" s="27">
        <f>SUM(U178:U180)</f>
        <v>41.6</v>
      </c>
      <c r="V176" s="37">
        <f t="shared" si="195"/>
        <v>1</v>
      </c>
    </row>
    <row r="177" spans="1:101" ht="18.75">
      <c r="A177" s="38"/>
      <c r="B177" s="60" t="s">
        <v>15</v>
      </c>
      <c r="C177" s="31"/>
      <c r="D177" s="41"/>
      <c r="E177" s="31"/>
      <c r="F177" s="27"/>
      <c r="G177" s="26"/>
      <c r="H177" s="26"/>
      <c r="I177" s="26"/>
      <c r="J177" s="27"/>
      <c r="K177" s="26"/>
      <c r="L177" s="26"/>
      <c r="M177" s="26"/>
      <c r="N177" s="27"/>
      <c r="O177" s="26"/>
      <c r="P177" s="27"/>
      <c r="Q177" s="27"/>
      <c r="R177" s="27"/>
      <c r="S177" s="27"/>
      <c r="T177" s="27"/>
      <c r="U177" s="27"/>
      <c r="V177" s="37"/>
    </row>
    <row r="178" spans="1:101" ht="49.5">
      <c r="A178" s="38"/>
      <c r="B178" s="40" t="s">
        <v>96</v>
      </c>
      <c r="C178" s="34" t="s">
        <v>314</v>
      </c>
      <c r="D178" s="35" t="s">
        <v>93</v>
      </c>
      <c r="E178" s="34" t="s">
        <v>170</v>
      </c>
      <c r="F178" s="27">
        <f t="shared" si="191"/>
        <v>12999.5</v>
      </c>
      <c r="G178" s="78">
        <v>12999.5</v>
      </c>
      <c r="H178" s="78"/>
      <c r="I178" s="78"/>
      <c r="J178" s="27">
        <f>K178+L178+M178</f>
        <v>12999.5</v>
      </c>
      <c r="K178" s="78">
        <v>12999.5</v>
      </c>
      <c r="L178" s="78"/>
      <c r="M178" s="78"/>
      <c r="N178" s="27">
        <f t="shared" ref="N178:N185" si="246">O178+P178+Q178</f>
        <v>0</v>
      </c>
      <c r="O178" s="78"/>
      <c r="P178" s="32"/>
      <c r="Q178" s="32"/>
      <c r="R178" s="27">
        <f>S178+T178+U178</f>
        <v>13000</v>
      </c>
      <c r="S178" s="32">
        <v>13000</v>
      </c>
      <c r="T178" s="32"/>
      <c r="U178" s="32"/>
      <c r="V178" s="62">
        <f t="shared" si="195"/>
        <v>1</v>
      </c>
    </row>
    <row r="179" spans="1:101" ht="55.5" customHeight="1">
      <c r="A179" s="38"/>
      <c r="B179" s="40" t="s">
        <v>211</v>
      </c>
      <c r="C179" s="34" t="s">
        <v>314</v>
      </c>
      <c r="D179" s="35" t="s">
        <v>93</v>
      </c>
      <c r="E179" s="34" t="s">
        <v>210</v>
      </c>
      <c r="F179" s="27">
        <f t="shared" si="191"/>
        <v>1494.2</v>
      </c>
      <c r="G179" s="78">
        <v>194.2</v>
      </c>
      <c r="H179" s="78">
        <v>1300</v>
      </c>
      <c r="I179" s="78"/>
      <c r="J179" s="27">
        <f>K179+L179+M179</f>
        <v>1494.2</v>
      </c>
      <c r="K179" s="78">
        <v>194.2</v>
      </c>
      <c r="L179" s="78">
        <v>1300</v>
      </c>
      <c r="M179" s="78"/>
      <c r="N179" s="27">
        <f t="shared" si="246"/>
        <v>1494.2</v>
      </c>
      <c r="O179" s="78">
        <v>194.2</v>
      </c>
      <c r="P179" s="32">
        <v>1300</v>
      </c>
      <c r="Q179" s="32"/>
      <c r="R179" s="27">
        <f>S179+T179+U179</f>
        <v>1494.2</v>
      </c>
      <c r="S179" s="32">
        <v>194.2</v>
      </c>
      <c r="T179" s="32">
        <v>1300</v>
      </c>
      <c r="U179" s="32"/>
      <c r="V179" s="62">
        <f t="shared" si="195"/>
        <v>1</v>
      </c>
    </row>
    <row r="180" spans="1:101" ht="75.75" customHeight="1">
      <c r="A180" s="38"/>
      <c r="B180" s="40" t="s">
        <v>172</v>
      </c>
      <c r="C180" s="34" t="s">
        <v>314</v>
      </c>
      <c r="D180" s="35" t="s">
        <v>93</v>
      </c>
      <c r="E180" s="34" t="s">
        <v>171</v>
      </c>
      <c r="F180" s="27">
        <f t="shared" si="191"/>
        <v>0</v>
      </c>
      <c r="G180" s="78"/>
      <c r="H180" s="78"/>
      <c r="I180" s="78">
        <v>0</v>
      </c>
      <c r="J180" s="27">
        <f>K180+L180+M180</f>
        <v>0</v>
      </c>
      <c r="K180" s="78"/>
      <c r="L180" s="78"/>
      <c r="M180" s="78"/>
      <c r="N180" s="27">
        <f t="shared" si="246"/>
        <v>1041.5999999999999</v>
      </c>
      <c r="O180" s="78">
        <v>1000</v>
      </c>
      <c r="P180" s="32"/>
      <c r="Q180" s="32">
        <v>41.6</v>
      </c>
      <c r="R180" s="27">
        <f>S180+T180+U180</f>
        <v>1041.5999999999999</v>
      </c>
      <c r="S180" s="32">
        <v>1000</v>
      </c>
      <c r="T180" s="32"/>
      <c r="U180" s="32">
        <v>41.6</v>
      </c>
      <c r="V180" s="62" t="e">
        <f t="shared" si="195"/>
        <v>#DIV/0!</v>
      </c>
    </row>
    <row r="181" spans="1:101" ht="30" customHeight="1">
      <c r="A181" s="23" t="s">
        <v>193</v>
      </c>
      <c r="B181" s="47" t="s">
        <v>335</v>
      </c>
      <c r="C181" s="61" t="s">
        <v>12</v>
      </c>
      <c r="D181" s="61" t="s">
        <v>12</v>
      </c>
      <c r="E181" s="61" t="s">
        <v>12</v>
      </c>
      <c r="F181" s="27">
        <f t="shared" ref="F181" si="247">G181+H181+I181</f>
        <v>5700</v>
      </c>
      <c r="G181" s="26">
        <f>SUM(G183)</f>
        <v>0</v>
      </c>
      <c r="H181" s="26">
        <f t="shared" ref="H181:I181" si="248">SUM(H183)</f>
        <v>5700</v>
      </c>
      <c r="I181" s="26">
        <f t="shared" si="248"/>
        <v>0</v>
      </c>
      <c r="J181" s="27">
        <f t="shared" ref="J181" si="249">K181+L181+M181</f>
        <v>5700</v>
      </c>
      <c r="K181" s="26">
        <f>SUM(K183)</f>
        <v>0</v>
      </c>
      <c r="L181" s="26">
        <f t="shared" ref="L181:M181" si="250">SUM(L183)</f>
        <v>5700</v>
      </c>
      <c r="M181" s="26">
        <f t="shared" si="250"/>
        <v>0</v>
      </c>
      <c r="N181" s="27">
        <f t="shared" si="246"/>
        <v>0</v>
      </c>
      <c r="O181" s="26">
        <f>SUM(O183)</f>
        <v>0</v>
      </c>
      <c r="P181" s="27">
        <f t="shared" ref="P181:Q181" si="251">SUM(P183)</f>
        <v>0</v>
      </c>
      <c r="Q181" s="27">
        <f t="shared" si="251"/>
        <v>0</v>
      </c>
      <c r="R181" s="27">
        <f>S181+T181+U181</f>
        <v>0</v>
      </c>
      <c r="S181" s="27">
        <f>SUM(S183)</f>
        <v>0</v>
      </c>
      <c r="T181" s="27">
        <f t="shared" ref="T181:U181" si="252">SUM(T183)</f>
        <v>0</v>
      </c>
      <c r="U181" s="27">
        <f t="shared" si="252"/>
        <v>0</v>
      </c>
      <c r="V181" s="37">
        <f t="shared" ref="V181" si="253">J181/F181</f>
        <v>1</v>
      </c>
    </row>
    <row r="182" spans="1:101" ht="23.25" customHeight="1">
      <c r="A182" s="38"/>
      <c r="B182" s="60" t="s">
        <v>15</v>
      </c>
      <c r="C182" s="31"/>
      <c r="D182" s="41"/>
      <c r="E182" s="31"/>
      <c r="F182" s="27"/>
      <c r="G182" s="26"/>
      <c r="H182" s="26"/>
      <c r="I182" s="26"/>
      <c r="J182" s="27"/>
      <c r="K182" s="26"/>
      <c r="L182" s="26"/>
      <c r="M182" s="26"/>
      <c r="N182" s="27"/>
      <c r="O182" s="26"/>
      <c r="P182" s="27"/>
      <c r="Q182" s="27"/>
      <c r="R182" s="27"/>
      <c r="S182" s="27"/>
      <c r="T182" s="27"/>
      <c r="U182" s="27"/>
      <c r="V182" s="37"/>
    </row>
    <row r="183" spans="1:101" ht="60" customHeight="1">
      <c r="A183" s="38"/>
      <c r="B183" s="40" t="s">
        <v>242</v>
      </c>
      <c r="C183" s="34" t="s">
        <v>314</v>
      </c>
      <c r="D183" s="35" t="s">
        <v>93</v>
      </c>
      <c r="E183" s="34" t="s">
        <v>151</v>
      </c>
      <c r="F183" s="27">
        <f t="shared" ref="F183" si="254">G183+H183+I183</f>
        <v>5700</v>
      </c>
      <c r="G183" s="78"/>
      <c r="H183" s="78">
        <v>5700</v>
      </c>
      <c r="I183" s="78"/>
      <c r="J183" s="27">
        <f>K183+L183+M183</f>
        <v>5700</v>
      </c>
      <c r="K183" s="78"/>
      <c r="L183" s="78">
        <v>5700</v>
      </c>
      <c r="M183" s="78"/>
      <c r="N183" s="27">
        <f t="shared" ref="N183" si="255">O183+P183+Q183</f>
        <v>0</v>
      </c>
      <c r="O183" s="78"/>
      <c r="P183" s="32"/>
      <c r="Q183" s="32"/>
      <c r="R183" s="27">
        <f>S183+T183+U183</f>
        <v>0</v>
      </c>
      <c r="S183" s="32"/>
      <c r="T183" s="32"/>
      <c r="U183" s="32"/>
      <c r="V183" s="62">
        <f t="shared" ref="V183" si="256">J183/F183</f>
        <v>1</v>
      </c>
    </row>
    <row r="184" spans="1:101" s="65" customFormat="1" ht="78.75" customHeight="1">
      <c r="A184" s="18" t="s">
        <v>97</v>
      </c>
      <c r="B184" s="59" t="s">
        <v>98</v>
      </c>
      <c r="C184" s="20" t="s">
        <v>12</v>
      </c>
      <c r="D184" s="20" t="s">
        <v>12</v>
      </c>
      <c r="E184" s="20" t="s">
        <v>12</v>
      </c>
      <c r="F184" s="44">
        <f>G184+H184+I184</f>
        <v>197308</v>
      </c>
      <c r="G184" s="44">
        <f>G185+G188+G192</f>
        <v>6919.2</v>
      </c>
      <c r="H184" s="44">
        <f>H185+H188+H192</f>
        <v>190388.8</v>
      </c>
      <c r="I184" s="44">
        <f>I185+I188+I192</f>
        <v>0</v>
      </c>
      <c r="J184" s="44">
        <f>K184+L184+M184</f>
        <v>133982.6</v>
      </c>
      <c r="K184" s="44">
        <f>K185+K188+K192</f>
        <v>5019.5</v>
      </c>
      <c r="L184" s="44">
        <f>L185+L188+L192</f>
        <v>128963.1</v>
      </c>
      <c r="M184" s="44">
        <f>M185+M188+M192</f>
        <v>0</v>
      </c>
      <c r="N184" s="44">
        <f>O184+P184+Q184</f>
        <v>268189.09999999998</v>
      </c>
      <c r="O184" s="44">
        <f>O185+O188+O192</f>
        <v>9035.5</v>
      </c>
      <c r="P184" s="44">
        <f>P185+P188+P192</f>
        <v>259153.6</v>
      </c>
      <c r="Q184" s="44">
        <f>Q185+Q188+Q192</f>
        <v>0</v>
      </c>
      <c r="R184" s="44">
        <f t="shared" ref="R184:R185" si="257">S184+T184+U184</f>
        <v>237776.4</v>
      </c>
      <c r="S184" s="44">
        <f>S185+S188+S192</f>
        <v>8123.3</v>
      </c>
      <c r="T184" s="44">
        <f>T185+T188+T192</f>
        <v>229653.1</v>
      </c>
      <c r="U184" s="44">
        <f>U185+U188+U192</f>
        <v>0</v>
      </c>
      <c r="V184" s="45">
        <f t="shared" ref="V184:V214" si="258">J184/F184</f>
        <v>0.67900000000000005</v>
      </c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</row>
    <row r="185" spans="1:101" ht="56.25" customHeight="1">
      <c r="A185" s="10" t="s">
        <v>99</v>
      </c>
      <c r="B185" s="24" t="s">
        <v>315</v>
      </c>
      <c r="C185" s="36" t="s">
        <v>12</v>
      </c>
      <c r="D185" s="36" t="s">
        <v>12</v>
      </c>
      <c r="E185" s="36" t="s">
        <v>12</v>
      </c>
      <c r="F185" s="26">
        <f t="shared" ref="F185:F214" si="259">G185+H185+I185</f>
        <v>8567</v>
      </c>
      <c r="G185" s="26">
        <f>SUM(G187:G187)</f>
        <v>257</v>
      </c>
      <c r="H185" s="26">
        <f>SUM(H187:H187)</f>
        <v>8310</v>
      </c>
      <c r="I185" s="26">
        <f>SUM(I187:I187)</f>
        <v>0</v>
      </c>
      <c r="J185" s="26">
        <f t="shared" ref="J185" si="260">K185+L185+M185</f>
        <v>8567</v>
      </c>
      <c r="K185" s="26">
        <f>SUM(K187:K187)</f>
        <v>257</v>
      </c>
      <c r="L185" s="26">
        <f>SUM(L187:L187)</f>
        <v>8310</v>
      </c>
      <c r="M185" s="26">
        <f>SUM(M187:M187)</f>
        <v>0</v>
      </c>
      <c r="N185" s="26">
        <f t="shared" si="246"/>
        <v>10593.5</v>
      </c>
      <c r="O185" s="26">
        <f>SUM(O187:O187)</f>
        <v>317.8</v>
      </c>
      <c r="P185" s="27">
        <f>SUM(P187:P187)</f>
        <v>10275.700000000001</v>
      </c>
      <c r="Q185" s="27">
        <f>SUM(Q187:Q187)</f>
        <v>0</v>
      </c>
      <c r="R185" s="26">
        <f t="shared" si="257"/>
        <v>11765.4</v>
      </c>
      <c r="S185" s="27">
        <f>SUM(S187:S187)</f>
        <v>353</v>
      </c>
      <c r="T185" s="27">
        <f>SUM(T187:T187)</f>
        <v>11412.4</v>
      </c>
      <c r="U185" s="27">
        <f>SUM(U187:U187)</f>
        <v>0</v>
      </c>
      <c r="V185" s="28">
        <f t="shared" si="258"/>
        <v>1</v>
      </c>
    </row>
    <row r="186" spans="1:101" ht="18.75">
      <c r="A186" s="13"/>
      <c r="B186" s="64" t="s">
        <v>15</v>
      </c>
      <c r="C186" s="56"/>
      <c r="D186" s="56"/>
      <c r="E186" s="56"/>
      <c r="F186" s="27"/>
      <c r="G186" s="26"/>
      <c r="H186" s="26"/>
      <c r="I186" s="26"/>
      <c r="J186" s="27"/>
      <c r="K186" s="26"/>
      <c r="L186" s="26"/>
      <c r="M186" s="26"/>
      <c r="N186" s="26"/>
      <c r="O186" s="26"/>
      <c r="P186" s="27"/>
      <c r="Q186" s="27"/>
      <c r="R186" s="26"/>
      <c r="S186" s="27"/>
      <c r="T186" s="27"/>
      <c r="U186" s="27"/>
      <c r="V186" s="37"/>
    </row>
    <row r="187" spans="1:101" ht="117.75" customHeight="1">
      <c r="A187" s="48"/>
      <c r="B187" s="93" t="s">
        <v>340</v>
      </c>
      <c r="C187" s="50" t="s">
        <v>317</v>
      </c>
      <c r="D187" s="51" t="s">
        <v>64</v>
      </c>
      <c r="E187" s="50" t="s">
        <v>198</v>
      </c>
      <c r="F187" s="66">
        <f t="shared" si="259"/>
        <v>8567</v>
      </c>
      <c r="G187" s="105">
        <v>257.01</v>
      </c>
      <c r="H187" s="105">
        <v>8310</v>
      </c>
      <c r="I187" s="105"/>
      <c r="J187" s="66">
        <f t="shared" ref="J187:J188" si="261">K187+L187+M187</f>
        <v>8567</v>
      </c>
      <c r="K187" s="105">
        <v>257</v>
      </c>
      <c r="L187" s="105">
        <v>8310</v>
      </c>
      <c r="M187" s="105"/>
      <c r="N187" s="66">
        <f t="shared" ref="N187:N188" si="262">O187+P187+Q187</f>
        <v>10593.5</v>
      </c>
      <c r="O187" s="105">
        <v>317.8</v>
      </c>
      <c r="P187" s="52">
        <v>10275.700000000001</v>
      </c>
      <c r="Q187" s="52"/>
      <c r="R187" s="66">
        <f t="shared" ref="R187:R188" si="263">S187+T187+U187</f>
        <v>11765.4</v>
      </c>
      <c r="S187" s="52">
        <v>352.96</v>
      </c>
      <c r="T187" s="52">
        <v>11412.4</v>
      </c>
      <c r="U187" s="52"/>
      <c r="V187" s="67">
        <f t="shared" si="258"/>
        <v>1</v>
      </c>
    </row>
    <row r="188" spans="1:101" ht="44.25" customHeight="1">
      <c r="A188" s="23" t="s">
        <v>100</v>
      </c>
      <c r="B188" s="47" t="s">
        <v>316</v>
      </c>
      <c r="C188" s="25" t="s">
        <v>12</v>
      </c>
      <c r="D188" s="25" t="s">
        <v>12</v>
      </c>
      <c r="E188" s="25" t="s">
        <v>12</v>
      </c>
      <c r="F188" s="27">
        <f>G188+H188+I188</f>
        <v>74632.2</v>
      </c>
      <c r="G188" s="26">
        <f>SUM(G190:G191)</f>
        <v>2239</v>
      </c>
      <c r="H188" s="26">
        <f>SUM(H190:H191)</f>
        <v>72393.2</v>
      </c>
      <c r="I188" s="26">
        <f>SUM(I190:I191)</f>
        <v>0</v>
      </c>
      <c r="J188" s="27">
        <f t="shared" si="261"/>
        <v>18412.599999999999</v>
      </c>
      <c r="K188" s="26">
        <f>SUM(K190:K191)</f>
        <v>552.4</v>
      </c>
      <c r="L188" s="26">
        <f>SUM(L190:L191)</f>
        <v>17860.2</v>
      </c>
      <c r="M188" s="26">
        <f>SUM(M190:M191)</f>
        <v>0</v>
      </c>
      <c r="N188" s="26">
        <f t="shared" si="262"/>
        <v>94146.6</v>
      </c>
      <c r="O188" s="26">
        <f>SUM(O190:O191)</f>
        <v>2824.4</v>
      </c>
      <c r="P188" s="27">
        <f>SUM(P190:P191)</f>
        <v>91322.2</v>
      </c>
      <c r="Q188" s="27">
        <f>SUM(Q190:Q191)</f>
        <v>0</v>
      </c>
      <c r="R188" s="26">
        <f t="shared" si="263"/>
        <v>112808.5</v>
      </c>
      <c r="S188" s="27">
        <f>SUM(S190:S191)</f>
        <v>3384.3</v>
      </c>
      <c r="T188" s="27">
        <f>SUM(T190:T191)</f>
        <v>109424.2</v>
      </c>
      <c r="U188" s="27">
        <f>SUM(U190:U191)</f>
        <v>0</v>
      </c>
      <c r="V188" s="28">
        <f t="shared" si="258"/>
        <v>0.247</v>
      </c>
    </row>
    <row r="189" spans="1:101" ht="18.75">
      <c r="A189" s="38"/>
      <c r="B189" s="60" t="s">
        <v>15</v>
      </c>
      <c r="C189" s="31"/>
      <c r="D189" s="31"/>
      <c r="E189" s="31"/>
      <c r="F189" s="27"/>
      <c r="G189" s="26"/>
      <c r="H189" s="26"/>
      <c r="I189" s="26"/>
      <c r="J189" s="27"/>
      <c r="K189" s="26"/>
      <c r="L189" s="26"/>
      <c r="M189" s="26"/>
      <c r="N189" s="26"/>
      <c r="O189" s="26"/>
      <c r="P189" s="27"/>
      <c r="Q189" s="27"/>
      <c r="R189" s="26"/>
      <c r="S189" s="27"/>
      <c r="T189" s="27"/>
      <c r="U189" s="27"/>
      <c r="V189" s="37"/>
    </row>
    <row r="190" spans="1:101" ht="121.5" customHeight="1">
      <c r="A190" s="38"/>
      <c r="B190" s="102" t="s">
        <v>347</v>
      </c>
      <c r="C190" s="50" t="s">
        <v>317</v>
      </c>
      <c r="D190" s="51" t="s">
        <v>64</v>
      </c>
      <c r="E190" s="34" t="s">
        <v>109</v>
      </c>
      <c r="F190" s="27">
        <f t="shared" ref="F190" si="264">G190+H190+I190</f>
        <v>63377.1</v>
      </c>
      <c r="G190" s="78">
        <v>1901.31</v>
      </c>
      <c r="H190" s="78">
        <v>61475.8</v>
      </c>
      <c r="I190" s="78"/>
      <c r="J190" s="27">
        <f t="shared" ref="J190" si="265">K190+L190+M190</f>
        <v>7157.5</v>
      </c>
      <c r="K190" s="78">
        <v>214.7</v>
      </c>
      <c r="L190" s="78">
        <v>6942.8</v>
      </c>
      <c r="M190" s="78"/>
      <c r="N190" s="27">
        <f t="shared" ref="N190" si="266">O190+P190+Q190</f>
        <v>76425.7</v>
      </c>
      <c r="O190" s="78">
        <v>2292.8000000000002</v>
      </c>
      <c r="P190" s="32">
        <v>74132.899999999994</v>
      </c>
      <c r="Q190" s="32"/>
      <c r="R190" s="27">
        <f t="shared" ref="R190" si="267">S190+T190+U190</f>
        <v>92736.3</v>
      </c>
      <c r="S190" s="32">
        <v>2782.09</v>
      </c>
      <c r="T190" s="32">
        <v>89954.2</v>
      </c>
      <c r="U190" s="32"/>
      <c r="V190" s="62">
        <f t="shared" ref="V190" si="268">J190/F190</f>
        <v>0.113</v>
      </c>
    </row>
    <row r="191" spans="1:101" ht="134.25" customHeight="1">
      <c r="A191" s="38"/>
      <c r="B191" s="40" t="s">
        <v>318</v>
      </c>
      <c r="C191" s="50" t="s">
        <v>317</v>
      </c>
      <c r="D191" s="51" t="s">
        <v>64</v>
      </c>
      <c r="E191" s="34" t="s">
        <v>199</v>
      </c>
      <c r="F191" s="27">
        <f t="shared" si="259"/>
        <v>11255.1</v>
      </c>
      <c r="G191" s="78">
        <v>337.65</v>
      </c>
      <c r="H191" s="78">
        <v>10917.4</v>
      </c>
      <c r="I191" s="78"/>
      <c r="J191" s="27">
        <f t="shared" ref="J191" si="269">K191+L191+M191</f>
        <v>11255.1</v>
      </c>
      <c r="K191" s="78">
        <v>337.7</v>
      </c>
      <c r="L191" s="78">
        <v>10917.4</v>
      </c>
      <c r="M191" s="78"/>
      <c r="N191" s="27">
        <f t="shared" ref="N191" si="270">O191+P191+Q191</f>
        <v>17720.900000000001</v>
      </c>
      <c r="O191" s="78">
        <v>531.6</v>
      </c>
      <c r="P191" s="32">
        <v>17189.3</v>
      </c>
      <c r="Q191" s="32"/>
      <c r="R191" s="27">
        <f t="shared" ref="R191" si="271">S191+T191+U191</f>
        <v>20072.2</v>
      </c>
      <c r="S191" s="32">
        <v>602.16</v>
      </c>
      <c r="T191" s="32">
        <v>19470</v>
      </c>
      <c r="U191" s="32"/>
      <c r="V191" s="62">
        <v>0</v>
      </c>
      <c r="X191" s="17"/>
    </row>
    <row r="192" spans="1:101" ht="45" customHeight="1">
      <c r="A192" s="10" t="s">
        <v>101</v>
      </c>
      <c r="B192" s="24" t="s">
        <v>339</v>
      </c>
      <c r="C192" s="36" t="s">
        <v>12</v>
      </c>
      <c r="D192" s="68" t="s">
        <v>12</v>
      </c>
      <c r="E192" s="36" t="s">
        <v>12</v>
      </c>
      <c r="F192" s="26">
        <f t="shared" si="259"/>
        <v>114108.8</v>
      </c>
      <c r="G192" s="26">
        <f>SUM(G194:G201)</f>
        <v>4423.2</v>
      </c>
      <c r="H192" s="26">
        <f t="shared" ref="H192:I192" si="272">SUM(H194:H201)</f>
        <v>109685.6</v>
      </c>
      <c r="I192" s="26">
        <f t="shared" si="272"/>
        <v>0</v>
      </c>
      <c r="J192" s="26">
        <f t="shared" ref="J192" si="273">K192+L192+M192</f>
        <v>107003</v>
      </c>
      <c r="K192" s="26">
        <f>SUM(K194:K201)</f>
        <v>4210.1000000000004</v>
      </c>
      <c r="L192" s="26">
        <f t="shared" ref="L192:M192" si="274">SUM(L194:L201)</f>
        <v>102792.9</v>
      </c>
      <c r="M192" s="26">
        <f t="shared" si="274"/>
        <v>0</v>
      </c>
      <c r="N192" s="26">
        <f t="shared" ref="N192" si="275">O192+P192+Q192</f>
        <v>163449</v>
      </c>
      <c r="O192" s="26">
        <f>SUM(O194:O201)</f>
        <v>5893.3</v>
      </c>
      <c r="P192" s="27">
        <f>SUM(P194:P201)</f>
        <v>157555.70000000001</v>
      </c>
      <c r="Q192" s="27">
        <f t="shared" ref="Q192" si="276">SUM(Q194:Q201)</f>
        <v>0</v>
      </c>
      <c r="R192" s="26">
        <f t="shared" ref="R192" si="277">S192+T192+U192</f>
        <v>113202.5</v>
      </c>
      <c r="S192" s="27">
        <f>SUM(S194:S201)</f>
        <v>4386</v>
      </c>
      <c r="T192" s="27">
        <f t="shared" ref="T192:U192" si="278">SUM(T194:T201)</f>
        <v>108816.5</v>
      </c>
      <c r="U192" s="27">
        <f t="shared" si="278"/>
        <v>0</v>
      </c>
      <c r="V192" s="28">
        <f t="shared" si="258"/>
        <v>0.93799999999999994</v>
      </c>
    </row>
    <row r="193" spans="1:101" ht="18.75">
      <c r="A193" s="38"/>
      <c r="B193" s="40" t="s">
        <v>15</v>
      </c>
      <c r="C193" s="31"/>
      <c r="D193" s="41"/>
      <c r="E193" s="31"/>
      <c r="F193" s="27"/>
      <c r="G193" s="78"/>
      <c r="H193" s="78"/>
      <c r="I193" s="78"/>
      <c r="J193" s="27"/>
      <c r="K193" s="78"/>
      <c r="L193" s="78"/>
      <c r="M193" s="78"/>
      <c r="N193" s="27"/>
      <c r="O193" s="78"/>
      <c r="P193" s="32"/>
      <c r="Q193" s="32"/>
      <c r="R193" s="27"/>
      <c r="S193" s="32"/>
      <c r="T193" s="32"/>
      <c r="U193" s="32"/>
      <c r="V193" s="62"/>
    </row>
    <row r="194" spans="1:101" ht="114.75" customHeight="1">
      <c r="A194" s="38"/>
      <c r="B194" s="40" t="s">
        <v>319</v>
      </c>
      <c r="C194" s="34" t="s">
        <v>317</v>
      </c>
      <c r="D194" s="35" t="s">
        <v>64</v>
      </c>
      <c r="E194" s="34" t="s">
        <v>110</v>
      </c>
      <c r="F194" s="27">
        <f t="shared" si="259"/>
        <v>2577.3000000000002</v>
      </c>
      <c r="G194" s="78">
        <v>77.3</v>
      </c>
      <c r="H194" s="78">
        <v>2500</v>
      </c>
      <c r="I194" s="78"/>
      <c r="J194" s="27">
        <f t="shared" ref="J194:J200" si="279">K194+L194+M194</f>
        <v>2577.3000000000002</v>
      </c>
      <c r="K194" s="78">
        <v>77.3</v>
      </c>
      <c r="L194" s="78">
        <v>2500</v>
      </c>
      <c r="M194" s="78"/>
      <c r="N194" s="27">
        <f t="shared" ref="N194:N200" si="280">O194+P194+Q194</f>
        <v>2577.3000000000002</v>
      </c>
      <c r="O194" s="78">
        <v>77.3</v>
      </c>
      <c r="P194" s="32">
        <v>2500</v>
      </c>
      <c r="Q194" s="32"/>
      <c r="R194" s="27">
        <f t="shared" ref="R194:R200" si="281">S194+T194+U194</f>
        <v>0</v>
      </c>
      <c r="S194" s="32">
        <v>0</v>
      </c>
      <c r="T194" s="32">
        <v>0</v>
      </c>
      <c r="U194" s="32"/>
      <c r="V194" s="62">
        <f t="shared" si="258"/>
        <v>1</v>
      </c>
    </row>
    <row r="195" spans="1:101" ht="120" customHeight="1">
      <c r="A195" s="38"/>
      <c r="B195" s="40" t="s">
        <v>320</v>
      </c>
      <c r="C195" s="34" t="s">
        <v>317</v>
      </c>
      <c r="D195" s="35" t="s">
        <v>64</v>
      </c>
      <c r="E195" s="34" t="s">
        <v>324</v>
      </c>
      <c r="F195" s="27">
        <f t="shared" si="259"/>
        <v>3608.3</v>
      </c>
      <c r="G195" s="78">
        <v>108.25</v>
      </c>
      <c r="H195" s="78">
        <v>3500</v>
      </c>
      <c r="I195" s="78"/>
      <c r="J195" s="27">
        <f t="shared" si="279"/>
        <v>3608.3</v>
      </c>
      <c r="K195" s="78">
        <v>108.3</v>
      </c>
      <c r="L195" s="78">
        <v>3500</v>
      </c>
      <c r="M195" s="78"/>
      <c r="N195" s="27">
        <f t="shared" si="280"/>
        <v>3608.2</v>
      </c>
      <c r="O195" s="78">
        <v>108.2</v>
      </c>
      <c r="P195" s="32">
        <v>3500</v>
      </c>
      <c r="Q195" s="32"/>
      <c r="R195" s="27">
        <f t="shared" si="281"/>
        <v>0</v>
      </c>
      <c r="S195" s="32">
        <v>0</v>
      </c>
      <c r="T195" s="32">
        <v>0</v>
      </c>
      <c r="U195" s="32"/>
      <c r="V195" s="62">
        <f t="shared" si="258"/>
        <v>1</v>
      </c>
    </row>
    <row r="196" spans="1:101" ht="99">
      <c r="A196" s="38"/>
      <c r="B196" s="40" t="s">
        <v>321</v>
      </c>
      <c r="C196" s="34" t="s">
        <v>317</v>
      </c>
      <c r="D196" s="35" t="s">
        <v>64</v>
      </c>
      <c r="E196" s="34" t="s">
        <v>181</v>
      </c>
      <c r="F196" s="27">
        <f t="shared" si="259"/>
        <v>11670.4</v>
      </c>
      <c r="G196" s="78">
        <v>350.11</v>
      </c>
      <c r="H196" s="78">
        <v>11320.3</v>
      </c>
      <c r="I196" s="78"/>
      <c r="J196" s="27">
        <f t="shared" si="279"/>
        <v>11670.4</v>
      </c>
      <c r="K196" s="78">
        <v>350.1</v>
      </c>
      <c r="L196" s="78">
        <v>11320.3</v>
      </c>
      <c r="M196" s="78"/>
      <c r="N196" s="27">
        <f t="shared" si="280"/>
        <v>11670.4</v>
      </c>
      <c r="O196" s="78">
        <v>350.1</v>
      </c>
      <c r="P196" s="32">
        <v>11320.3</v>
      </c>
      <c r="Q196" s="32"/>
      <c r="R196" s="27">
        <f t="shared" si="281"/>
        <v>0</v>
      </c>
      <c r="S196" s="32">
        <v>0</v>
      </c>
      <c r="T196" s="32">
        <v>0</v>
      </c>
      <c r="U196" s="32"/>
      <c r="V196" s="62">
        <f t="shared" si="258"/>
        <v>1</v>
      </c>
    </row>
    <row r="197" spans="1:101" ht="107.25" customHeight="1">
      <c r="A197" s="38"/>
      <c r="B197" s="40" t="s">
        <v>322</v>
      </c>
      <c r="C197" s="34" t="s">
        <v>317</v>
      </c>
      <c r="D197" s="35" t="s">
        <v>64</v>
      </c>
      <c r="E197" s="34" t="s">
        <v>200</v>
      </c>
      <c r="F197" s="27">
        <f t="shared" si="259"/>
        <v>10975.6</v>
      </c>
      <c r="G197" s="78">
        <v>329.27</v>
      </c>
      <c r="H197" s="78">
        <v>10646.3</v>
      </c>
      <c r="I197" s="78"/>
      <c r="J197" s="27">
        <f t="shared" si="279"/>
        <v>10975.6</v>
      </c>
      <c r="K197" s="78">
        <v>329.3</v>
      </c>
      <c r="L197" s="78">
        <v>10646.3</v>
      </c>
      <c r="M197" s="78"/>
      <c r="N197" s="27">
        <f t="shared" si="280"/>
        <v>11469.2</v>
      </c>
      <c r="O197" s="78">
        <v>344.1</v>
      </c>
      <c r="P197" s="32">
        <v>11125.1</v>
      </c>
      <c r="Q197" s="32"/>
      <c r="R197" s="27">
        <f t="shared" si="281"/>
        <v>10450.299999999999</v>
      </c>
      <c r="S197" s="32">
        <v>313.51</v>
      </c>
      <c r="T197" s="32">
        <v>10136.799999999999</v>
      </c>
      <c r="U197" s="32"/>
      <c r="V197" s="62">
        <f t="shared" si="258"/>
        <v>1</v>
      </c>
    </row>
    <row r="198" spans="1:101" ht="82.5">
      <c r="A198" s="38"/>
      <c r="B198" s="40" t="s">
        <v>201</v>
      </c>
      <c r="C198" s="34" t="s">
        <v>325</v>
      </c>
      <c r="D198" s="35" t="s">
        <v>237</v>
      </c>
      <c r="E198" s="34" t="s">
        <v>202</v>
      </c>
      <c r="F198" s="27">
        <f t="shared" si="259"/>
        <v>40527.5</v>
      </c>
      <c r="G198" s="78">
        <f>1215.8+0.03</f>
        <v>1215.8</v>
      </c>
      <c r="H198" s="78">
        <v>39311.699999999997</v>
      </c>
      <c r="I198" s="78"/>
      <c r="J198" s="27">
        <f t="shared" si="279"/>
        <v>40527.5</v>
      </c>
      <c r="K198" s="78">
        <v>1215.8</v>
      </c>
      <c r="L198" s="78">
        <v>39311.699999999997</v>
      </c>
      <c r="M198" s="78"/>
      <c r="N198" s="27">
        <f t="shared" si="280"/>
        <v>83511.3</v>
      </c>
      <c r="O198" s="78">
        <v>2505.3000000000002</v>
      </c>
      <c r="P198" s="32">
        <v>81006</v>
      </c>
      <c r="Q198" s="32"/>
      <c r="R198" s="27">
        <f t="shared" si="281"/>
        <v>30879.1</v>
      </c>
      <c r="S198" s="32">
        <v>926.4</v>
      </c>
      <c r="T198" s="32">
        <v>29952.7</v>
      </c>
      <c r="U198" s="32"/>
      <c r="V198" s="62">
        <f t="shared" si="258"/>
        <v>1</v>
      </c>
    </row>
    <row r="199" spans="1:101" ht="99.75" customHeight="1">
      <c r="A199" s="38"/>
      <c r="B199" s="40" t="s">
        <v>323</v>
      </c>
      <c r="C199" s="34" t="s">
        <v>317</v>
      </c>
      <c r="D199" s="35" t="s">
        <v>64</v>
      </c>
      <c r="E199" s="34" t="s">
        <v>203</v>
      </c>
      <c r="F199" s="27">
        <f t="shared" si="259"/>
        <v>3529.2</v>
      </c>
      <c r="G199" s="78">
        <v>105.88</v>
      </c>
      <c r="H199" s="78">
        <v>3423.3</v>
      </c>
      <c r="I199" s="78"/>
      <c r="J199" s="27">
        <f t="shared" si="279"/>
        <v>3529.2</v>
      </c>
      <c r="K199" s="78">
        <v>105.9</v>
      </c>
      <c r="L199" s="78">
        <v>3423.3</v>
      </c>
      <c r="M199" s="78"/>
      <c r="N199" s="27">
        <f t="shared" si="280"/>
        <v>3529.2</v>
      </c>
      <c r="O199" s="78">
        <v>105.9</v>
      </c>
      <c r="P199" s="32">
        <v>3423.3</v>
      </c>
      <c r="Q199" s="32"/>
      <c r="R199" s="27">
        <f t="shared" si="281"/>
        <v>0</v>
      </c>
      <c r="S199" s="32">
        <v>0</v>
      </c>
      <c r="T199" s="32">
        <v>0</v>
      </c>
      <c r="U199" s="32"/>
      <c r="V199" s="62">
        <f t="shared" si="258"/>
        <v>1</v>
      </c>
    </row>
    <row r="200" spans="1:101" ht="82.5">
      <c r="A200" s="38"/>
      <c r="B200" s="40" t="s">
        <v>243</v>
      </c>
      <c r="C200" s="34" t="s">
        <v>326</v>
      </c>
      <c r="D200" s="35" t="s">
        <v>102</v>
      </c>
      <c r="E200" s="34" t="s">
        <v>238</v>
      </c>
      <c r="F200" s="27">
        <f t="shared" si="259"/>
        <v>40189.699999999997</v>
      </c>
      <c r="G200" s="78">
        <v>1205.7</v>
      </c>
      <c r="H200" s="78">
        <v>38984</v>
      </c>
      <c r="I200" s="78"/>
      <c r="J200" s="27">
        <f t="shared" si="279"/>
        <v>33083.800000000003</v>
      </c>
      <c r="K200" s="78">
        <v>992.5</v>
      </c>
      <c r="L200" s="78">
        <v>32091.3</v>
      </c>
      <c r="M200" s="78"/>
      <c r="N200" s="27">
        <f t="shared" si="280"/>
        <v>46062.9</v>
      </c>
      <c r="O200" s="78">
        <v>1381.9</v>
      </c>
      <c r="P200" s="32">
        <v>44681</v>
      </c>
      <c r="Q200" s="32"/>
      <c r="R200" s="27">
        <f t="shared" si="281"/>
        <v>70852.600000000006</v>
      </c>
      <c r="S200" s="32">
        <v>2125.6</v>
      </c>
      <c r="T200" s="32">
        <v>68727</v>
      </c>
      <c r="U200" s="32"/>
      <c r="V200" s="62">
        <f t="shared" si="258"/>
        <v>0.82299999999999995</v>
      </c>
    </row>
    <row r="201" spans="1:101" ht="79.5" customHeight="1">
      <c r="A201" s="38"/>
      <c r="B201" s="40" t="s">
        <v>103</v>
      </c>
      <c r="C201" s="34" t="s">
        <v>326</v>
      </c>
      <c r="D201" s="35" t="s">
        <v>102</v>
      </c>
      <c r="E201" s="34" t="s">
        <v>205</v>
      </c>
      <c r="F201" s="27">
        <f t="shared" si="259"/>
        <v>1030.9000000000001</v>
      </c>
      <c r="G201" s="78">
        <v>1030.9000000000001</v>
      </c>
      <c r="H201" s="78"/>
      <c r="I201" s="78"/>
      <c r="J201" s="27">
        <f t="shared" ref="J201:J203" si="282">K201+L201+M201</f>
        <v>1030.9000000000001</v>
      </c>
      <c r="K201" s="78">
        <v>1030.9000000000001</v>
      </c>
      <c r="L201" s="78"/>
      <c r="M201" s="78"/>
      <c r="N201" s="27">
        <f t="shared" ref="N201:N203" si="283">O201+P201+Q201</f>
        <v>1020.5</v>
      </c>
      <c r="O201" s="78">
        <v>1020.5</v>
      </c>
      <c r="P201" s="32"/>
      <c r="Q201" s="32"/>
      <c r="R201" s="27">
        <f t="shared" ref="R201:R203" si="284">S201+T201+U201</f>
        <v>1020.5</v>
      </c>
      <c r="S201" s="32">
        <v>1020.5</v>
      </c>
      <c r="T201" s="32"/>
      <c r="U201" s="32"/>
      <c r="V201" s="62">
        <f t="shared" si="258"/>
        <v>1</v>
      </c>
    </row>
    <row r="202" spans="1:101" s="65" customFormat="1" ht="51.75" customHeight="1">
      <c r="A202" s="18" t="s">
        <v>104</v>
      </c>
      <c r="B202" s="59" t="s">
        <v>105</v>
      </c>
      <c r="C202" s="20" t="s">
        <v>12</v>
      </c>
      <c r="D202" s="20" t="s">
        <v>12</v>
      </c>
      <c r="E202" s="20" t="s">
        <v>12</v>
      </c>
      <c r="F202" s="44">
        <f t="shared" si="259"/>
        <v>24208.799999999999</v>
      </c>
      <c r="G202" s="44">
        <f>G203</f>
        <v>18200</v>
      </c>
      <c r="H202" s="44">
        <f>H203</f>
        <v>6008.8</v>
      </c>
      <c r="I202" s="44">
        <f>I203</f>
        <v>0</v>
      </c>
      <c r="J202" s="44">
        <f t="shared" si="282"/>
        <v>20226.400000000001</v>
      </c>
      <c r="K202" s="44">
        <f>K203</f>
        <v>14217.6</v>
      </c>
      <c r="L202" s="44">
        <f>L203</f>
        <v>6008.8</v>
      </c>
      <c r="M202" s="44">
        <f>M203</f>
        <v>0</v>
      </c>
      <c r="N202" s="44">
        <f t="shared" si="283"/>
        <v>1500</v>
      </c>
      <c r="O202" s="44">
        <f>O203</f>
        <v>1500</v>
      </c>
      <c r="P202" s="44">
        <f>P203</f>
        <v>0</v>
      </c>
      <c r="Q202" s="44">
        <f>Q203</f>
        <v>0</v>
      </c>
      <c r="R202" s="44">
        <f t="shared" si="284"/>
        <v>1500</v>
      </c>
      <c r="S202" s="44">
        <f>S203</f>
        <v>1500</v>
      </c>
      <c r="T202" s="44">
        <f>T203</f>
        <v>0</v>
      </c>
      <c r="U202" s="44">
        <f>U203</f>
        <v>0</v>
      </c>
      <c r="V202" s="45">
        <f t="shared" si="258"/>
        <v>0.83499999999999996</v>
      </c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</row>
    <row r="203" spans="1:101" ht="58.5" customHeight="1">
      <c r="A203" s="10" t="s">
        <v>106</v>
      </c>
      <c r="B203" s="24" t="s">
        <v>328</v>
      </c>
      <c r="C203" s="36" t="s">
        <v>12</v>
      </c>
      <c r="D203" s="36" t="s">
        <v>12</v>
      </c>
      <c r="E203" s="36" t="s">
        <v>12</v>
      </c>
      <c r="F203" s="27">
        <f t="shared" si="259"/>
        <v>24208.799999999999</v>
      </c>
      <c r="G203" s="26">
        <f>SUM(G205:G209)</f>
        <v>18200</v>
      </c>
      <c r="H203" s="26">
        <f>SUM(H205:H209)</f>
        <v>6008.8</v>
      </c>
      <c r="I203" s="26">
        <f>SUM(I205:I209)</f>
        <v>0</v>
      </c>
      <c r="J203" s="27">
        <f t="shared" si="282"/>
        <v>20226.400000000001</v>
      </c>
      <c r="K203" s="26">
        <f>SUM(K205:K209)</f>
        <v>14217.6</v>
      </c>
      <c r="L203" s="26">
        <f>SUM(L205:L209)</f>
        <v>6008.8</v>
      </c>
      <c r="M203" s="26">
        <f>SUM(M205:M209)</f>
        <v>0</v>
      </c>
      <c r="N203" s="26">
        <f t="shared" si="283"/>
        <v>1500</v>
      </c>
      <c r="O203" s="26">
        <f>SUM(O205:O209)</f>
        <v>1500</v>
      </c>
      <c r="P203" s="27">
        <f>SUM(P205:P209)</f>
        <v>0</v>
      </c>
      <c r="Q203" s="27">
        <f>SUM(Q205:Q209)</f>
        <v>0</v>
      </c>
      <c r="R203" s="26">
        <f t="shared" si="284"/>
        <v>1500</v>
      </c>
      <c r="S203" s="27">
        <f>SUM(S205:S209)</f>
        <v>1500</v>
      </c>
      <c r="T203" s="27">
        <f>SUM(T205:T209)</f>
        <v>0</v>
      </c>
      <c r="U203" s="27">
        <f>SUM(U205:U209)</f>
        <v>0</v>
      </c>
      <c r="V203" s="37">
        <f t="shared" si="258"/>
        <v>0.83499999999999996</v>
      </c>
    </row>
    <row r="204" spans="1:101" ht="18.75">
      <c r="A204" s="38"/>
      <c r="B204" s="60" t="s">
        <v>15</v>
      </c>
      <c r="C204" s="31"/>
      <c r="D204" s="31"/>
      <c r="E204" s="31"/>
      <c r="F204" s="27"/>
      <c r="G204" s="26"/>
      <c r="H204" s="26"/>
      <c r="I204" s="26"/>
      <c r="J204" s="27"/>
      <c r="K204" s="26"/>
      <c r="L204" s="26"/>
      <c r="M204" s="26"/>
      <c r="N204" s="27"/>
      <c r="O204" s="26"/>
      <c r="P204" s="27"/>
      <c r="Q204" s="27"/>
      <c r="R204" s="27"/>
      <c r="S204" s="27"/>
      <c r="T204" s="27"/>
      <c r="U204" s="27"/>
      <c r="V204" s="37"/>
    </row>
    <row r="205" spans="1:101" ht="102" customHeight="1">
      <c r="A205" s="38"/>
      <c r="B205" s="40" t="s">
        <v>327</v>
      </c>
      <c r="C205" s="34">
        <v>840</v>
      </c>
      <c r="D205" s="35" t="s">
        <v>64</v>
      </c>
      <c r="E205" s="34" t="s">
        <v>111</v>
      </c>
      <c r="F205" s="27">
        <f t="shared" si="259"/>
        <v>0</v>
      </c>
      <c r="G205" s="78"/>
      <c r="H205" s="78"/>
      <c r="I205" s="78"/>
      <c r="J205" s="27">
        <f t="shared" ref="J205:J209" si="285">K205+L205+M205</f>
        <v>0</v>
      </c>
      <c r="K205" s="78"/>
      <c r="L205" s="78"/>
      <c r="M205" s="78"/>
      <c r="N205" s="27">
        <f t="shared" ref="N205:N209" si="286">O205+P205+Q205</f>
        <v>1500</v>
      </c>
      <c r="O205" s="78">
        <v>1500</v>
      </c>
      <c r="P205" s="32"/>
      <c r="Q205" s="32"/>
      <c r="R205" s="27">
        <f t="shared" ref="R205:R209" si="287">S205+T205+U205</f>
        <v>1500</v>
      </c>
      <c r="S205" s="32">
        <v>1500</v>
      </c>
      <c r="T205" s="32"/>
      <c r="U205" s="32"/>
      <c r="V205" s="62" t="e">
        <f t="shared" si="258"/>
        <v>#DIV/0!</v>
      </c>
    </row>
    <row r="206" spans="1:101" ht="66.75" customHeight="1">
      <c r="A206" s="38"/>
      <c r="B206" s="40" t="s">
        <v>388</v>
      </c>
      <c r="C206" s="34" t="s">
        <v>293</v>
      </c>
      <c r="D206" s="35" t="s">
        <v>65</v>
      </c>
      <c r="E206" s="34" t="s">
        <v>387</v>
      </c>
      <c r="F206" s="27">
        <f>G206+H206+I206</f>
        <v>1907.2</v>
      </c>
      <c r="G206" s="78">
        <v>1907.2</v>
      </c>
      <c r="H206" s="78"/>
      <c r="I206" s="78"/>
      <c r="J206" s="27">
        <f>K206+L206+M206</f>
        <v>0</v>
      </c>
      <c r="K206" s="78"/>
      <c r="L206" s="78"/>
      <c r="M206" s="78"/>
      <c r="N206" s="27">
        <f>O206+P206+Q206</f>
        <v>0</v>
      </c>
      <c r="O206" s="78"/>
      <c r="P206" s="32"/>
      <c r="Q206" s="32"/>
      <c r="R206" s="27"/>
      <c r="S206" s="32"/>
      <c r="T206" s="32"/>
      <c r="U206" s="32"/>
      <c r="V206" s="62"/>
    </row>
    <row r="207" spans="1:101" ht="69.75" customHeight="1">
      <c r="A207" s="38"/>
      <c r="B207" s="40" t="s">
        <v>388</v>
      </c>
      <c r="C207" s="34" t="s">
        <v>286</v>
      </c>
      <c r="D207" s="35" t="s">
        <v>51</v>
      </c>
      <c r="E207" s="34" t="s">
        <v>387</v>
      </c>
      <c r="F207" s="27">
        <f>G207+H207+I207</f>
        <v>1110.8</v>
      </c>
      <c r="G207" s="78">
        <v>1110.8</v>
      </c>
      <c r="H207" s="78"/>
      <c r="I207" s="78"/>
      <c r="J207" s="27">
        <f>K207+L207+M207</f>
        <v>120.7</v>
      </c>
      <c r="K207" s="105">
        <v>120.7</v>
      </c>
      <c r="L207" s="78"/>
      <c r="M207" s="78"/>
      <c r="N207" s="27">
        <f>O207+P207+Q207</f>
        <v>0</v>
      </c>
      <c r="O207" s="78"/>
      <c r="P207" s="32"/>
      <c r="Q207" s="32"/>
      <c r="R207" s="27"/>
      <c r="S207" s="32"/>
      <c r="T207" s="32"/>
      <c r="U207" s="32"/>
      <c r="V207" s="62"/>
    </row>
    <row r="208" spans="1:101" ht="102" customHeight="1">
      <c r="A208" s="38"/>
      <c r="B208" s="40" t="s">
        <v>327</v>
      </c>
      <c r="C208" s="34" t="s">
        <v>317</v>
      </c>
      <c r="D208" s="35" t="s">
        <v>64</v>
      </c>
      <c r="E208" s="34" t="s">
        <v>377</v>
      </c>
      <c r="F208" s="27">
        <f t="shared" si="259"/>
        <v>21190.799999999999</v>
      </c>
      <c r="G208" s="78">
        <v>15182</v>
      </c>
      <c r="H208" s="78">
        <v>6008.8</v>
      </c>
      <c r="I208" s="78"/>
      <c r="J208" s="27">
        <f t="shared" si="285"/>
        <v>20105.7</v>
      </c>
      <c r="K208" s="78">
        <v>14096.9</v>
      </c>
      <c r="L208" s="78">
        <v>6008.8</v>
      </c>
      <c r="M208" s="78"/>
      <c r="N208" s="27">
        <f t="shared" si="286"/>
        <v>0</v>
      </c>
      <c r="O208" s="78"/>
      <c r="P208" s="32"/>
      <c r="Q208" s="32"/>
      <c r="R208" s="27">
        <f t="shared" si="287"/>
        <v>0</v>
      </c>
      <c r="S208" s="32"/>
      <c r="T208" s="32"/>
      <c r="U208" s="32"/>
      <c r="V208" s="62">
        <f t="shared" si="258"/>
        <v>0.94899999999999995</v>
      </c>
    </row>
    <row r="209" spans="1:101" ht="74.25" customHeight="1">
      <c r="A209" s="38"/>
      <c r="B209" s="40" t="s">
        <v>365</v>
      </c>
      <c r="C209" s="34">
        <v>804</v>
      </c>
      <c r="D209" s="35" t="s">
        <v>65</v>
      </c>
      <c r="E209" s="34" t="s">
        <v>175</v>
      </c>
      <c r="F209" s="27">
        <f t="shared" si="259"/>
        <v>0</v>
      </c>
      <c r="G209" s="78"/>
      <c r="H209" s="78"/>
      <c r="I209" s="78"/>
      <c r="J209" s="27">
        <f t="shared" si="285"/>
        <v>0</v>
      </c>
      <c r="K209" s="78"/>
      <c r="L209" s="78"/>
      <c r="M209" s="78"/>
      <c r="N209" s="27">
        <f t="shared" si="286"/>
        <v>0</v>
      </c>
      <c r="O209" s="78"/>
      <c r="P209" s="32"/>
      <c r="Q209" s="32"/>
      <c r="R209" s="27">
        <f t="shared" si="287"/>
        <v>0</v>
      </c>
      <c r="S209" s="32"/>
      <c r="T209" s="32"/>
      <c r="U209" s="32"/>
      <c r="V209" s="62" t="e">
        <f t="shared" si="258"/>
        <v>#DIV/0!</v>
      </c>
    </row>
    <row r="210" spans="1:101" s="65" customFormat="1" ht="42.75" customHeight="1">
      <c r="A210" s="59">
        <v>11</v>
      </c>
      <c r="B210" s="59" t="s">
        <v>192</v>
      </c>
      <c r="C210" s="20" t="s">
        <v>12</v>
      </c>
      <c r="D210" s="20" t="s">
        <v>12</v>
      </c>
      <c r="E210" s="69" t="s">
        <v>12</v>
      </c>
      <c r="F210" s="44">
        <f t="shared" si="259"/>
        <v>35917</v>
      </c>
      <c r="G210" s="44">
        <f>G211</f>
        <v>1077.5</v>
      </c>
      <c r="H210" s="44">
        <f>H211</f>
        <v>34839.5</v>
      </c>
      <c r="I210" s="44">
        <f>I211</f>
        <v>0</v>
      </c>
      <c r="J210" s="44">
        <f t="shared" ref="J210:J211" si="288">K210+L210+M210</f>
        <v>4498.7</v>
      </c>
      <c r="K210" s="44">
        <f>K211</f>
        <v>135</v>
      </c>
      <c r="L210" s="44">
        <f>L211</f>
        <v>4363.7</v>
      </c>
      <c r="M210" s="44">
        <f>M211</f>
        <v>0</v>
      </c>
      <c r="N210" s="44">
        <f t="shared" ref="N210:N211" si="289">O210+P210+Q210</f>
        <v>49763.6</v>
      </c>
      <c r="O210" s="44">
        <f>O211</f>
        <v>1492.9</v>
      </c>
      <c r="P210" s="44">
        <f>P211</f>
        <v>48270.7</v>
      </c>
      <c r="Q210" s="44">
        <f>Q211</f>
        <v>0</v>
      </c>
      <c r="R210" s="44">
        <f t="shared" ref="R210:R211" si="290">S210+T210+U210</f>
        <v>58502.1</v>
      </c>
      <c r="S210" s="44">
        <f>S211</f>
        <v>1755</v>
      </c>
      <c r="T210" s="44">
        <f>T211</f>
        <v>56747.1</v>
      </c>
      <c r="U210" s="44">
        <f>U211</f>
        <v>0</v>
      </c>
      <c r="V210" s="45">
        <f t="shared" si="258"/>
        <v>0.125</v>
      </c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</row>
    <row r="211" spans="1:101" s="7" customFormat="1" ht="39" customHeight="1">
      <c r="A211" s="23" t="s">
        <v>113</v>
      </c>
      <c r="B211" s="47" t="s">
        <v>114</v>
      </c>
      <c r="C211" s="25" t="s">
        <v>12</v>
      </c>
      <c r="D211" s="25" t="s">
        <v>12</v>
      </c>
      <c r="E211" s="25" t="s">
        <v>12</v>
      </c>
      <c r="F211" s="27">
        <f t="shared" si="259"/>
        <v>35917</v>
      </c>
      <c r="G211" s="26">
        <f t="shared" ref="G211:H211" si="291">SUM(G213:G214)</f>
        <v>1077.5</v>
      </c>
      <c r="H211" s="26">
        <f t="shared" si="291"/>
        <v>34839.5</v>
      </c>
      <c r="I211" s="26">
        <f t="shared" ref="I211" si="292">SUM(I213:I214)</f>
        <v>0</v>
      </c>
      <c r="J211" s="27">
        <f t="shared" si="288"/>
        <v>4498.7</v>
      </c>
      <c r="K211" s="26">
        <f t="shared" ref="K211:M211" si="293">SUM(K213:K214)</f>
        <v>135</v>
      </c>
      <c r="L211" s="26">
        <f t="shared" si="293"/>
        <v>4363.7</v>
      </c>
      <c r="M211" s="26">
        <f t="shared" si="293"/>
        <v>0</v>
      </c>
      <c r="N211" s="27">
        <f t="shared" si="289"/>
        <v>49763.6</v>
      </c>
      <c r="O211" s="26">
        <f t="shared" ref="O211:T211" si="294">SUM(O213:O214)</f>
        <v>1492.9</v>
      </c>
      <c r="P211" s="27">
        <f t="shared" si="294"/>
        <v>48270.7</v>
      </c>
      <c r="Q211" s="27">
        <f t="shared" si="294"/>
        <v>0</v>
      </c>
      <c r="R211" s="27">
        <f t="shared" si="290"/>
        <v>58502.1</v>
      </c>
      <c r="S211" s="27">
        <f t="shared" si="294"/>
        <v>1755</v>
      </c>
      <c r="T211" s="27">
        <f t="shared" si="294"/>
        <v>56747.1</v>
      </c>
      <c r="U211" s="27">
        <f t="shared" ref="U211" si="295">SUM(U213:U214)</f>
        <v>0</v>
      </c>
      <c r="V211" s="37">
        <f t="shared" si="258"/>
        <v>0.125</v>
      </c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</row>
    <row r="212" spans="1:101" ht="18.75">
      <c r="A212" s="13"/>
      <c r="B212" s="64" t="s">
        <v>15</v>
      </c>
      <c r="C212" s="56"/>
      <c r="D212" s="56"/>
      <c r="E212" s="56"/>
      <c r="F212" s="27"/>
      <c r="G212" s="26"/>
      <c r="H212" s="26"/>
      <c r="I212" s="26"/>
      <c r="J212" s="27"/>
      <c r="K212" s="26"/>
      <c r="L212" s="26"/>
      <c r="M212" s="26"/>
      <c r="N212" s="26"/>
      <c r="O212" s="26"/>
      <c r="P212" s="27"/>
      <c r="Q212" s="27"/>
      <c r="R212" s="26"/>
      <c r="S212" s="27"/>
      <c r="T212" s="27"/>
      <c r="U212" s="27"/>
      <c r="V212" s="37"/>
    </row>
    <row r="213" spans="1:101" ht="68.25" customHeight="1">
      <c r="A213" s="70"/>
      <c r="B213" s="40" t="s">
        <v>115</v>
      </c>
      <c r="C213" s="34">
        <v>818</v>
      </c>
      <c r="D213" s="35" t="s">
        <v>116</v>
      </c>
      <c r="E213" s="34" t="s">
        <v>117</v>
      </c>
      <c r="F213" s="27">
        <f t="shared" si="259"/>
        <v>4498.7</v>
      </c>
      <c r="G213" s="78">
        <v>135</v>
      </c>
      <c r="H213" s="78">
        <v>4363.7</v>
      </c>
      <c r="I213" s="78"/>
      <c r="J213" s="27">
        <f t="shared" ref="J213:J214" si="296">K213+L213+M213</f>
        <v>4498.7</v>
      </c>
      <c r="K213" s="78">
        <v>135</v>
      </c>
      <c r="L213" s="78">
        <v>4363.7</v>
      </c>
      <c r="M213" s="78"/>
      <c r="N213" s="26">
        <f t="shared" ref="N213:N214" si="297">O213+P213+Q213</f>
        <v>0</v>
      </c>
      <c r="O213" s="78">
        <v>0</v>
      </c>
      <c r="P213" s="32">
        <v>0</v>
      </c>
      <c r="Q213" s="32"/>
      <c r="R213" s="26">
        <f t="shared" ref="R213:R214" si="298">S213+T213+U213</f>
        <v>8593.5</v>
      </c>
      <c r="S213" s="32">
        <v>257.8</v>
      </c>
      <c r="T213" s="32">
        <v>8335.7000000000007</v>
      </c>
      <c r="U213" s="32"/>
      <c r="V213" s="62">
        <f t="shared" si="258"/>
        <v>1</v>
      </c>
    </row>
    <row r="214" spans="1:101" ht="85.5" customHeight="1">
      <c r="A214" s="70"/>
      <c r="B214" s="40" t="s">
        <v>221</v>
      </c>
      <c r="C214" s="34">
        <v>817</v>
      </c>
      <c r="D214" s="35" t="s">
        <v>102</v>
      </c>
      <c r="E214" s="34" t="s">
        <v>190</v>
      </c>
      <c r="F214" s="27">
        <f t="shared" si="259"/>
        <v>31418.3</v>
      </c>
      <c r="G214" s="78">
        <v>942.5</v>
      </c>
      <c r="H214" s="78">
        <v>30475.8</v>
      </c>
      <c r="I214" s="78"/>
      <c r="J214" s="27">
        <f t="shared" si="296"/>
        <v>0</v>
      </c>
      <c r="K214" s="78"/>
      <c r="L214" s="78"/>
      <c r="M214" s="78"/>
      <c r="N214" s="26">
        <f t="shared" si="297"/>
        <v>49763.6</v>
      </c>
      <c r="O214" s="78">
        <v>1492.9</v>
      </c>
      <c r="P214" s="32">
        <v>48270.7</v>
      </c>
      <c r="Q214" s="32"/>
      <c r="R214" s="26">
        <f t="shared" si="298"/>
        <v>49908.6</v>
      </c>
      <c r="S214" s="32">
        <v>1497.2</v>
      </c>
      <c r="T214" s="32">
        <v>48411.4</v>
      </c>
      <c r="U214" s="32"/>
      <c r="V214" s="62">
        <f t="shared" si="258"/>
        <v>0</v>
      </c>
    </row>
    <row r="215" spans="1:101">
      <c r="B215" s="5" t="s">
        <v>329</v>
      </c>
    </row>
    <row r="216" spans="1:101" ht="16.5" customHeight="1">
      <c r="B216" s="5" t="s">
        <v>191</v>
      </c>
    </row>
    <row r="217" spans="1:101">
      <c r="B217" s="100" t="s">
        <v>367</v>
      </c>
      <c r="F217" s="3"/>
      <c r="J217" s="3"/>
      <c r="N217" s="3"/>
      <c r="P217" s="3"/>
      <c r="R217" s="3"/>
      <c r="S217" s="3"/>
      <c r="T217" s="3"/>
      <c r="V217" s="3"/>
    </row>
    <row r="218" spans="1:101">
      <c r="B218" s="100" t="s">
        <v>368</v>
      </c>
      <c r="F218" s="3"/>
      <c r="J218" s="3"/>
      <c r="N218" s="3"/>
      <c r="P218" s="3"/>
      <c r="R218" s="3"/>
      <c r="S218" s="3"/>
      <c r="T218" s="3"/>
      <c r="V218" s="3"/>
    </row>
    <row r="219" spans="1:101">
      <c r="B219" s="101" t="s">
        <v>378</v>
      </c>
      <c r="F219" s="3"/>
      <c r="J219" s="3"/>
      <c r="N219" s="3"/>
      <c r="P219" s="3"/>
      <c r="R219" s="3"/>
      <c r="S219" s="3"/>
      <c r="T219" s="3"/>
      <c r="V219" s="3"/>
    </row>
    <row r="220" spans="1:101">
      <c r="F220" s="3"/>
      <c r="J220" s="3"/>
      <c r="N220" s="3"/>
      <c r="P220" s="3"/>
      <c r="R220" s="3"/>
      <c r="S220" s="3"/>
      <c r="T220" s="3"/>
      <c r="V220" s="3"/>
    </row>
    <row r="221" spans="1:101">
      <c r="F221" s="3"/>
      <c r="J221" s="3"/>
      <c r="N221" s="3"/>
      <c r="P221" s="3"/>
      <c r="R221" s="3"/>
      <c r="S221" s="3"/>
      <c r="T221" s="3"/>
      <c r="V221" s="3"/>
    </row>
    <row r="222" spans="1:101" ht="22.15" customHeight="1">
      <c r="F222" s="3"/>
      <c r="J222" s="3"/>
      <c r="N222" s="3"/>
      <c r="P222" s="3"/>
      <c r="R222" s="3"/>
      <c r="S222" s="3"/>
      <c r="T222" s="3"/>
      <c r="V222" s="3"/>
    </row>
    <row r="223" spans="1:101" ht="22.15" customHeight="1">
      <c r="F223" s="3"/>
      <c r="J223" s="3"/>
      <c r="N223" s="3"/>
      <c r="P223" s="3"/>
      <c r="R223" s="3"/>
      <c r="S223" s="3"/>
      <c r="T223" s="3"/>
      <c r="V223" s="3"/>
    </row>
    <row r="224" spans="1:101" ht="22.15" customHeight="1">
      <c r="F224" s="3"/>
      <c r="J224" s="3"/>
      <c r="N224" s="3"/>
      <c r="P224" s="3"/>
      <c r="R224" s="3"/>
      <c r="S224" s="3"/>
      <c r="T224" s="3"/>
      <c r="V224" s="3"/>
    </row>
    <row r="225" spans="6:22" ht="22.15" customHeight="1">
      <c r="F225" s="3"/>
      <c r="J225" s="3"/>
      <c r="N225" s="3"/>
      <c r="P225" s="3"/>
      <c r="R225" s="3"/>
      <c r="S225" s="3"/>
      <c r="T225" s="3"/>
      <c r="V225" s="3"/>
    </row>
    <row r="226" spans="6:22" ht="21" customHeight="1">
      <c r="F226" s="3"/>
      <c r="J226" s="3"/>
      <c r="N226" s="3"/>
      <c r="P226" s="3"/>
      <c r="R226" s="3"/>
      <c r="S226" s="3"/>
      <c r="T226" s="3"/>
      <c r="V226" s="3"/>
    </row>
    <row r="227" spans="6:22" ht="21" customHeight="1">
      <c r="F227" s="3"/>
      <c r="J227" s="3"/>
      <c r="N227" s="3"/>
      <c r="P227" s="3"/>
      <c r="R227" s="3"/>
      <c r="S227" s="3"/>
      <c r="T227" s="3"/>
      <c r="V227" s="3"/>
    </row>
    <row r="228" spans="6:22" ht="21" customHeight="1">
      <c r="F228" s="3"/>
      <c r="J228" s="3"/>
      <c r="N228" s="3"/>
      <c r="P228" s="3"/>
      <c r="R228" s="3"/>
      <c r="S228" s="3"/>
      <c r="T228" s="3"/>
      <c r="V228" s="3"/>
    </row>
    <row r="229" spans="6:22" ht="21" customHeight="1">
      <c r="F229" s="3"/>
      <c r="J229" s="3"/>
      <c r="N229" s="3"/>
      <c r="P229" s="3"/>
      <c r="R229" s="3"/>
      <c r="S229" s="3"/>
      <c r="T229" s="3"/>
      <c r="V229" s="3"/>
    </row>
    <row r="230" spans="6:22" ht="17.45" customHeight="1">
      <c r="F230" s="3"/>
      <c r="J230" s="3"/>
      <c r="N230" s="3"/>
      <c r="P230" s="3"/>
      <c r="R230" s="3"/>
      <c r="S230" s="3"/>
      <c r="T230" s="3"/>
      <c r="V230" s="3"/>
    </row>
    <row r="231" spans="6:22" ht="16.149999999999999" customHeight="1">
      <c r="F231" s="3"/>
      <c r="J231" s="3"/>
      <c r="N231" s="3"/>
      <c r="P231" s="3"/>
      <c r="R231" s="3"/>
      <c r="S231" s="3"/>
      <c r="T231" s="3"/>
      <c r="V231" s="3"/>
    </row>
    <row r="232" spans="6:22" ht="17.45" customHeight="1">
      <c r="F232" s="3"/>
      <c r="J232" s="3"/>
      <c r="N232" s="3"/>
      <c r="P232" s="3"/>
      <c r="R232" s="3"/>
      <c r="S232" s="3"/>
      <c r="T232" s="3"/>
      <c r="V232" s="3"/>
    </row>
    <row r="233" spans="6:22" ht="20.45" customHeight="1">
      <c r="F233" s="3"/>
      <c r="J233" s="3"/>
      <c r="N233" s="3"/>
      <c r="P233" s="3"/>
      <c r="R233" s="3"/>
      <c r="S233" s="3"/>
      <c r="T233" s="3"/>
      <c r="V233" s="3"/>
    </row>
    <row r="234" spans="6:22" ht="16.149999999999999" customHeight="1">
      <c r="F234" s="3"/>
      <c r="J234" s="3"/>
      <c r="N234" s="3"/>
      <c r="P234" s="3"/>
      <c r="R234" s="3"/>
      <c r="S234" s="3"/>
      <c r="T234" s="3"/>
      <c r="V234" s="3"/>
    </row>
    <row r="235" spans="6:22" ht="17.45" customHeight="1">
      <c r="F235" s="3"/>
      <c r="J235" s="3"/>
      <c r="N235" s="3"/>
      <c r="P235" s="3"/>
      <c r="R235" s="3"/>
      <c r="S235" s="3"/>
      <c r="T235" s="3"/>
      <c r="V235" s="3"/>
    </row>
    <row r="236" spans="6:22" ht="17.45" customHeight="1">
      <c r="F236" s="3"/>
      <c r="J236" s="3"/>
      <c r="N236" s="3"/>
      <c r="P236" s="3"/>
      <c r="R236" s="3"/>
      <c r="S236" s="3"/>
      <c r="T236" s="3"/>
      <c r="V236" s="3"/>
    </row>
    <row r="237" spans="6:22">
      <c r="F237" s="3"/>
      <c r="J237" s="3"/>
      <c r="N237" s="3"/>
      <c r="P237" s="3"/>
      <c r="R237" s="3"/>
      <c r="S237" s="3"/>
      <c r="T237" s="3"/>
      <c r="V237" s="3"/>
    </row>
    <row r="238" spans="6:22">
      <c r="F238" s="3"/>
      <c r="J238" s="3"/>
      <c r="N238" s="3"/>
      <c r="P238" s="3"/>
      <c r="R238" s="3"/>
      <c r="S238" s="3"/>
      <c r="T238" s="3"/>
      <c r="V238" s="3"/>
    </row>
    <row r="239" spans="6:22">
      <c r="F239" s="3"/>
      <c r="J239" s="3"/>
      <c r="N239" s="3"/>
      <c r="P239" s="3"/>
      <c r="R239" s="3"/>
      <c r="S239" s="3"/>
      <c r="T239" s="3"/>
      <c r="V239" s="3"/>
    </row>
    <row r="240" spans="6:22">
      <c r="F240" s="3"/>
      <c r="J240" s="3"/>
      <c r="N240" s="3"/>
      <c r="P240" s="3"/>
      <c r="R240" s="3"/>
      <c r="S240" s="3"/>
      <c r="T240" s="3"/>
      <c r="V240" s="3"/>
    </row>
    <row r="241" spans="6:22">
      <c r="F241" s="3"/>
      <c r="J241" s="3"/>
      <c r="N241" s="3"/>
      <c r="P241" s="3"/>
      <c r="R241" s="3"/>
      <c r="S241" s="3"/>
      <c r="T241" s="3"/>
      <c r="V241" s="3"/>
    </row>
    <row r="242" spans="6:22">
      <c r="F242" s="3"/>
      <c r="J242" s="3"/>
      <c r="N242" s="3"/>
      <c r="P242" s="3"/>
      <c r="R242" s="3"/>
      <c r="S242" s="3"/>
      <c r="T242" s="3"/>
      <c r="V242" s="3"/>
    </row>
    <row r="243" spans="6:22">
      <c r="F243" s="3"/>
      <c r="J243" s="3"/>
      <c r="N243" s="3"/>
      <c r="P243" s="3"/>
      <c r="R243" s="3"/>
      <c r="S243" s="3"/>
      <c r="T243" s="3"/>
      <c r="V243" s="3"/>
    </row>
    <row r="244" spans="6:22">
      <c r="F244" s="3"/>
      <c r="J244" s="3"/>
      <c r="N244" s="3"/>
      <c r="P244" s="3"/>
      <c r="R244" s="3"/>
      <c r="S244" s="3"/>
      <c r="T244" s="3"/>
      <c r="V244" s="3"/>
    </row>
    <row r="245" spans="6:22">
      <c r="F245" s="3"/>
      <c r="J245" s="3"/>
      <c r="N245" s="3"/>
      <c r="P245" s="3"/>
      <c r="R245" s="3"/>
      <c r="S245" s="3"/>
      <c r="T245" s="3"/>
      <c r="V245" s="3"/>
    </row>
    <row r="246" spans="6:22">
      <c r="F246" s="3"/>
      <c r="J246" s="3"/>
      <c r="N246" s="3"/>
      <c r="P246" s="3"/>
      <c r="R246" s="3"/>
      <c r="S246" s="3"/>
      <c r="T246" s="3"/>
      <c r="V246" s="3"/>
    </row>
    <row r="247" spans="6:22">
      <c r="F247" s="3"/>
      <c r="J247" s="3"/>
      <c r="N247" s="3"/>
      <c r="P247" s="3"/>
      <c r="R247" s="3"/>
      <c r="S247" s="3"/>
      <c r="T247" s="3"/>
      <c r="V247" s="3"/>
    </row>
    <row r="248" spans="6:22">
      <c r="F248" s="3"/>
      <c r="J248" s="3"/>
      <c r="N248" s="3"/>
      <c r="P248" s="3"/>
      <c r="R248" s="3"/>
      <c r="S248" s="3"/>
      <c r="T248" s="3"/>
      <c r="V248" s="3"/>
    </row>
    <row r="249" spans="6:22">
      <c r="F249" s="3"/>
      <c r="J249" s="3"/>
      <c r="N249" s="3"/>
      <c r="P249" s="3"/>
      <c r="R249" s="3"/>
      <c r="S249" s="3"/>
      <c r="T249" s="3"/>
      <c r="V249" s="3"/>
    </row>
    <row r="250" spans="6:22">
      <c r="F250" s="3"/>
      <c r="J250" s="3"/>
      <c r="N250" s="3"/>
      <c r="P250" s="3"/>
      <c r="R250" s="3"/>
      <c r="S250" s="3"/>
      <c r="T250" s="3"/>
      <c r="V250" s="3"/>
    </row>
    <row r="251" spans="6:22">
      <c r="F251" s="3"/>
      <c r="J251" s="3"/>
      <c r="N251" s="3"/>
      <c r="P251" s="3"/>
      <c r="R251" s="3"/>
      <c r="S251" s="3"/>
      <c r="T251" s="3"/>
      <c r="V251" s="3"/>
    </row>
    <row r="252" spans="6:22">
      <c r="F252" s="3"/>
      <c r="J252" s="3"/>
      <c r="N252" s="3"/>
      <c r="P252" s="3"/>
      <c r="R252" s="3"/>
      <c r="S252" s="3"/>
      <c r="T252" s="3"/>
      <c r="V252" s="3"/>
    </row>
    <row r="253" spans="6:22">
      <c r="F253" s="3"/>
      <c r="J253" s="3"/>
      <c r="N253" s="3"/>
      <c r="P253" s="3"/>
      <c r="R253" s="3"/>
      <c r="S253" s="3"/>
      <c r="T253" s="3"/>
      <c r="V253" s="3"/>
    </row>
    <row r="254" spans="6:22">
      <c r="F254" s="3"/>
      <c r="J254" s="3"/>
      <c r="N254" s="3"/>
      <c r="P254" s="3"/>
      <c r="R254" s="3"/>
      <c r="S254" s="3"/>
      <c r="T254" s="3"/>
      <c r="V254" s="3"/>
    </row>
  </sheetData>
  <autoFilter ref="E12:E216"/>
  <customSheetViews>
    <customSheetView guid="{FE09AB06-1ECE-4486-BCA1-E9D85830708B}" scale="60" showPageBreaks="1" printArea="1" showAutoFilter="1">
      <pane xSplit="1" ySplit="7" topLeftCell="B8" activePane="bottomRight" state="frozen"/>
      <selection pane="bottomRight" activeCell="J149" sqref="J149"/>
      <rowBreaks count="2" manualBreakCount="2">
        <brk id="96" max="37" man="1"/>
        <brk id="110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  <autoFilter ref="E12:E216"/>
    </customSheetView>
    <customSheetView guid="{8DBC8541-9868-41A7-9A9F-A27FC80CBA37}" scale="78" showPageBreaks="1" printArea="1">
      <pane xSplit="1" ySplit="7" topLeftCell="B8" activePane="bottomRight" state="frozen"/>
      <selection pane="bottomRight" sqref="A1:XFD1048576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</customSheetView>
    <customSheetView guid="{93EA31E7-8B3D-4C73-8B82-ECC92251AB38}" scale="60" showAutoFilter="1">
      <pane xSplit="1" ySplit="7" topLeftCell="B8" activePane="bottomRight" state="frozen"/>
      <selection pane="bottomRight" activeCell="J218" sqref="J218"/>
      <rowBreaks count="2" manualBreakCount="2">
        <brk id="95" max="37" man="1"/>
        <brk id="108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3"/>
      <autoFilter ref="E12:E207"/>
    </customSheetView>
    <customSheetView guid="{CFE875CB-1045-45F7-825E-02100661E885}" scale="60" showPageBreaks="1" printArea="1" showAutoFilter="1">
      <pane xSplit="1" ySplit="7" topLeftCell="C96" activePane="bottomRight" state="frozen"/>
      <selection pane="bottomRight" activeCell="F104" sqref="F10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4"/>
      <autoFilter ref="A7:V213"/>
    </customSheetView>
    <customSheetView guid="{F6FA4751-5470-442B-8CE2-1DF7C5920E7E}" scale="77" showPageBreaks="1" printArea="1" showAutoFilter="1">
      <pane xSplit="1" ySplit="7" topLeftCell="B8" activePane="bottomRight" state="frozen"/>
      <selection pane="bottomRight" activeCell="X8" sqref="X8:AA11"/>
      <rowBreaks count="2" manualBreakCount="2">
        <brk id="96" max="37" man="1"/>
        <brk id="111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5"/>
      <autoFilter ref="E12:E216"/>
    </customSheetView>
  </customSheetViews>
  <mergeCells count="15">
    <mergeCell ref="A1:V2"/>
    <mergeCell ref="A4:A6"/>
    <mergeCell ref="B4:B6"/>
    <mergeCell ref="C4:C6"/>
    <mergeCell ref="E4:E6"/>
    <mergeCell ref="D4:D6"/>
    <mergeCell ref="F5:I5"/>
    <mergeCell ref="F4:I4"/>
    <mergeCell ref="J4:M4"/>
    <mergeCell ref="J5:M5"/>
    <mergeCell ref="N4:Q4"/>
    <mergeCell ref="N5:Q5"/>
    <mergeCell ref="R4:U4"/>
    <mergeCell ref="R5:U5"/>
    <mergeCell ref="V4:V6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6"/>
  <rowBreaks count="2" manualBreakCount="2">
    <brk id="96" max="37" man="1"/>
    <brk id="110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CJ49"/>
  <sheetViews>
    <sheetView topLeftCell="A4" zoomScaleNormal="100" workbookViewId="0">
      <selection activeCell="C12" sqref="C12"/>
    </sheetView>
  </sheetViews>
  <sheetFormatPr defaultColWidth="9.140625" defaultRowHeight="15"/>
  <cols>
    <col min="1" max="1" width="6.42578125" style="4" customWidth="1"/>
    <col min="2" max="2" width="56.42578125" style="5" customWidth="1"/>
    <col min="3" max="3" width="17.5703125" style="4" customWidth="1"/>
    <col min="4" max="4" width="15.5703125" style="7" customWidth="1"/>
    <col min="5" max="5" width="10.28515625" style="4" customWidth="1"/>
    <col min="6" max="6" width="50" style="3" hidden="1" customWidth="1"/>
    <col min="7" max="7" width="9.140625" style="3" hidden="1" customWidth="1"/>
    <col min="8" max="8" width="8.85546875" style="3"/>
    <col min="9" max="9" width="6" style="3" customWidth="1"/>
    <col min="10" max="10" width="36.140625" style="83" customWidth="1"/>
    <col min="11" max="11" width="18.42578125" style="3" bestFit="1" customWidth="1"/>
    <col min="12" max="12" width="18.28515625" style="3" customWidth="1"/>
    <col min="13" max="13" width="9.140625" style="3" customWidth="1"/>
    <col min="14" max="14" width="18.42578125" style="3" bestFit="1" customWidth="1"/>
    <col min="15" max="15" width="9.7109375" style="3" bestFit="1" customWidth="1"/>
    <col min="16" max="16" width="9" style="3" bestFit="1" customWidth="1"/>
    <col min="17" max="88" width="9.140625" style="3"/>
    <col min="89" max="16384" width="9.140625" style="4"/>
  </cols>
  <sheetData>
    <row r="1" spans="1:88" ht="15" customHeight="1">
      <c r="A1" s="114" t="s">
        <v>239</v>
      </c>
      <c r="B1" s="114"/>
      <c r="C1" s="114"/>
      <c r="D1" s="114"/>
      <c r="E1" s="114"/>
    </row>
    <row r="2" spans="1:88" ht="37.5" customHeight="1">
      <c r="A2" s="114"/>
      <c r="B2" s="114"/>
      <c r="C2" s="114"/>
      <c r="D2" s="114"/>
      <c r="E2" s="114"/>
    </row>
    <row r="4" spans="1:88" ht="16.5" customHeight="1">
      <c r="A4" s="73" t="s">
        <v>0</v>
      </c>
      <c r="B4" s="74" t="s">
        <v>1</v>
      </c>
      <c r="C4" s="75" t="s">
        <v>194</v>
      </c>
      <c r="D4" s="75" t="s">
        <v>194</v>
      </c>
      <c r="E4" s="71" t="s">
        <v>234</v>
      </c>
      <c r="F4" s="72" t="s">
        <v>240</v>
      </c>
      <c r="G4" s="72" t="s">
        <v>241</v>
      </c>
      <c r="I4" s="135" t="s">
        <v>0</v>
      </c>
      <c r="J4" s="137" t="s">
        <v>1</v>
      </c>
      <c r="K4" s="139" t="s">
        <v>245</v>
      </c>
      <c r="L4" s="134" t="s">
        <v>246</v>
      </c>
      <c r="M4" s="134"/>
      <c r="N4" s="134" t="s">
        <v>248</v>
      </c>
      <c r="O4" s="134"/>
    </row>
    <row r="5" spans="1:88" ht="16.5" customHeight="1">
      <c r="A5" s="73"/>
      <c r="B5" s="80"/>
      <c r="C5" s="75"/>
      <c r="D5" s="75"/>
      <c r="E5" s="71"/>
      <c r="F5" s="72"/>
      <c r="G5" s="72"/>
      <c r="I5" s="136"/>
      <c r="J5" s="138"/>
      <c r="K5" s="140"/>
      <c r="L5" s="82" t="s">
        <v>247</v>
      </c>
      <c r="M5" s="82" t="s">
        <v>234</v>
      </c>
      <c r="N5" s="82" t="s">
        <v>247</v>
      </c>
      <c r="O5" s="82" t="s">
        <v>234</v>
      </c>
    </row>
    <row r="6" spans="1:88" ht="19.5">
      <c r="A6" s="13"/>
      <c r="B6" s="14" t="s">
        <v>10</v>
      </c>
      <c r="C6" s="15">
        <f>Лист1!F8/1000</f>
        <v>18435.2</v>
      </c>
      <c r="D6" s="15">
        <f>Лист1!J8/1000</f>
        <v>11372.5</v>
      </c>
      <c r="E6" s="16">
        <f>Лист1!V8</f>
        <v>0.61699999999999999</v>
      </c>
      <c r="F6" s="2"/>
      <c r="G6" s="2"/>
      <c r="I6" s="13"/>
      <c r="J6" s="64" t="s">
        <v>10</v>
      </c>
      <c r="K6" s="76">
        <f>C6</f>
        <v>18435.2</v>
      </c>
      <c r="L6" s="81">
        <f>D6</f>
        <v>11372.5</v>
      </c>
      <c r="M6" s="81">
        <f>L6/K6*100</f>
        <v>61.7</v>
      </c>
      <c r="N6" s="76">
        <v>5306.5</v>
      </c>
      <c r="O6" s="77">
        <f>N6/K6</f>
        <v>0.28799999999999998</v>
      </c>
      <c r="P6" s="17">
        <f>N6-L6</f>
        <v>-6066</v>
      </c>
    </row>
    <row r="7" spans="1:88" s="65" customFormat="1" ht="49.5">
      <c r="A7" s="18" t="s">
        <v>9</v>
      </c>
      <c r="B7" s="59" t="s">
        <v>86</v>
      </c>
      <c r="C7" s="44">
        <f>Лист1!F146/1000</f>
        <v>6530.4</v>
      </c>
      <c r="D7" s="44">
        <f>Лист1!J146/1000</f>
        <v>5574.6</v>
      </c>
      <c r="E7" s="45">
        <f>Лист1!V146/1000</f>
        <v>1E-3</v>
      </c>
      <c r="F7" s="2"/>
      <c r="G7" s="2"/>
      <c r="H7" s="3"/>
      <c r="I7" s="13" t="s">
        <v>9</v>
      </c>
      <c r="J7" s="64" t="s">
        <v>86</v>
      </c>
      <c r="K7" s="76">
        <f t="shared" ref="K7:K17" si="0">C7</f>
        <v>6530.4</v>
      </c>
      <c r="L7" s="76">
        <f t="shared" ref="L7:L17" si="1">D7</f>
        <v>5574.6</v>
      </c>
      <c r="M7" s="81">
        <f t="shared" ref="M7:M17" si="2">L7/K7*100</f>
        <v>85.4</v>
      </c>
      <c r="N7" s="78">
        <v>1692.4</v>
      </c>
      <c r="O7" s="77">
        <f t="shared" ref="O7:O17" si="3">N7/K7</f>
        <v>0.25900000000000001</v>
      </c>
      <c r="P7" s="17">
        <f t="shared" ref="P7:P17" si="4">N7-L7</f>
        <v>-3882.2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</row>
    <row r="8" spans="1:88" ht="33">
      <c r="A8" s="18" t="s">
        <v>32</v>
      </c>
      <c r="B8" s="19" t="s">
        <v>11</v>
      </c>
      <c r="C8" s="21">
        <f>Лист1!F9/1000</f>
        <v>2467.1999999999998</v>
      </c>
      <c r="D8" s="21">
        <f>Лист1!J9/1000</f>
        <v>2259.3000000000002</v>
      </c>
      <c r="E8" s="22">
        <f>Лист1!V9/1000</f>
        <v>1E-3</v>
      </c>
      <c r="F8" s="2"/>
      <c r="G8" s="2"/>
      <c r="I8" s="13" t="s">
        <v>32</v>
      </c>
      <c r="J8" s="64" t="s">
        <v>11</v>
      </c>
      <c r="K8" s="76">
        <f t="shared" si="0"/>
        <v>2467.1999999999998</v>
      </c>
      <c r="L8" s="76">
        <f t="shared" si="1"/>
        <v>2259.3000000000002</v>
      </c>
      <c r="M8" s="81">
        <f t="shared" si="2"/>
        <v>91.6</v>
      </c>
      <c r="N8" s="79">
        <v>2032.2</v>
      </c>
      <c r="O8" s="77">
        <f t="shared" si="3"/>
        <v>0.82399999999999995</v>
      </c>
      <c r="P8" s="17">
        <f t="shared" si="4"/>
        <v>-227.1</v>
      </c>
    </row>
    <row r="9" spans="1:88" ht="33">
      <c r="A9" s="20">
        <v>3</v>
      </c>
      <c r="B9" s="42" t="s">
        <v>33</v>
      </c>
      <c r="C9" s="44">
        <f>Лист1!F37/1000</f>
        <v>3769.6</v>
      </c>
      <c r="D9" s="44">
        <f>Лист1!J37/1000</f>
        <v>1564.1</v>
      </c>
      <c r="E9" s="45">
        <f>Лист1!V37/1000</f>
        <v>0</v>
      </c>
      <c r="F9" s="2"/>
      <c r="G9" s="2"/>
      <c r="I9" s="13">
        <v>3</v>
      </c>
      <c r="J9" s="84" t="s">
        <v>33</v>
      </c>
      <c r="K9" s="76">
        <f t="shared" si="0"/>
        <v>3769.6</v>
      </c>
      <c r="L9" s="76">
        <f t="shared" si="1"/>
        <v>1564.1</v>
      </c>
      <c r="M9" s="81">
        <f t="shared" si="2"/>
        <v>41.5</v>
      </c>
      <c r="N9" s="78">
        <v>350.4</v>
      </c>
      <c r="O9" s="77">
        <f t="shared" si="3"/>
        <v>9.2999999999999999E-2</v>
      </c>
      <c r="P9" s="17">
        <f t="shared" si="4"/>
        <v>-1213.7</v>
      </c>
    </row>
    <row r="10" spans="1:88" s="65" customFormat="1" ht="33">
      <c r="A10" s="18" t="s">
        <v>60</v>
      </c>
      <c r="B10" s="59" t="s">
        <v>68</v>
      </c>
      <c r="C10" s="44">
        <f>Лист1!F117/1000</f>
        <v>3864.3</v>
      </c>
      <c r="D10" s="44">
        <f>Лист1!J117/1000</f>
        <v>1012.6</v>
      </c>
      <c r="E10" s="45">
        <f>Лист1!V117/1000</f>
        <v>0</v>
      </c>
      <c r="F10" s="2"/>
      <c r="G10" s="2"/>
      <c r="H10" s="3"/>
      <c r="I10" s="13" t="s">
        <v>67</v>
      </c>
      <c r="J10" s="64" t="s">
        <v>68</v>
      </c>
      <c r="K10" s="76">
        <f t="shared" si="0"/>
        <v>3864.3</v>
      </c>
      <c r="L10" s="76">
        <f t="shared" si="1"/>
        <v>1012.6</v>
      </c>
      <c r="M10" s="81">
        <f t="shared" si="2"/>
        <v>26.2</v>
      </c>
      <c r="N10" s="78">
        <v>548.5</v>
      </c>
      <c r="O10" s="77">
        <f t="shared" si="3"/>
        <v>0.14199999999999999</v>
      </c>
      <c r="P10" s="17">
        <f t="shared" si="4"/>
        <v>-464.1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</row>
    <row r="11" spans="1:88" ht="33">
      <c r="A11" s="18" t="s">
        <v>67</v>
      </c>
      <c r="B11" s="19" t="s">
        <v>45</v>
      </c>
      <c r="C11" s="44">
        <f>Лист1!F68/1000</f>
        <v>1325.9</v>
      </c>
      <c r="D11" s="44">
        <f>Лист1!J68/1000</f>
        <v>685.1</v>
      </c>
      <c r="E11" s="45">
        <f>Лист1!V68/1000</f>
        <v>1E-3</v>
      </c>
      <c r="F11" s="29"/>
      <c r="G11" s="2"/>
      <c r="I11" s="13" t="s">
        <v>60</v>
      </c>
      <c r="J11" s="64" t="s">
        <v>45</v>
      </c>
      <c r="K11" s="76">
        <f t="shared" si="0"/>
        <v>1325.9</v>
      </c>
      <c r="L11" s="76">
        <f t="shared" si="1"/>
        <v>685.1</v>
      </c>
      <c r="M11" s="81">
        <f t="shared" si="2"/>
        <v>51.7</v>
      </c>
      <c r="N11" s="78">
        <v>355</v>
      </c>
      <c r="O11" s="77">
        <f t="shared" si="3"/>
        <v>0.26800000000000002</v>
      </c>
      <c r="P11" s="17">
        <f t="shared" si="4"/>
        <v>-330.1</v>
      </c>
    </row>
    <row r="12" spans="1:88" s="65" customFormat="1" ht="33">
      <c r="A12" s="18" t="s">
        <v>73</v>
      </c>
      <c r="B12" s="19" t="s">
        <v>74</v>
      </c>
      <c r="C12" s="44">
        <f>Лист1!F133/1000</f>
        <v>36.1</v>
      </c>
      <c r="D12" s="44">
        <f>Лист1!J133/1000</f>
        <v>20.3</v>
      </c>
      <c r="E12" s="45">
        <f>Лист1!V133/1000</f>
        <v>1E-3</v>
      </c>
      <c r="F12" s="2"/>
      <c r="G12" s="2"/>
      <c r="H12" s="3"/>
      <c r="I12" s="13" t="s">
        <v>73</v>
      </c>
      <c r="J12" s="64" t="s">
        <v>74</v>
      </c>
      <c r="K12" s="76">
        <f t="shared" si="0"/>
        <v>36.1</v>
      </c>
      <c r="L12" s="76">
        <f t="shared" si="1"/>
        <v>20.3</v>
      </c>
      <c r="M12" s="81">
        <f t="shared" si="2"/>
        <v>56.2</v>
      </c>
      <c r="N12" s="78">
        <v>120.2</v>
      </c>
      <c r="O12" s="77">
        <f t="shared" si="3"/>
        <v>3.33</v>
      </c>
      <c r="P12" s="17">
        <f t="shared" si="4"/>
        <v>99.9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</row>
    <row r="13" spans="1:88" s="65" customFormat="1" ht="82.5">
      <c r="A13" s="18" t="s">
        <v>85</v>
      </c>
      <c r="B13" s="59" t="s">
        <v>98</v>
      </c>
      <c r="C13" s="44">
        <f>Лист1!F184/1000</f>
        <v>197.3</v>
      </c>
      <c r="D13" s="44">
        <f>Лист1!J184/1000</f>
        <v>134</v>
      </c>
      <c r="E13" s="45">
        <f>Лист1!V184/1000</f>
        <v>1E-3</v>
      </c>
      <c r="F13" s="2"/>
      <c r="G13" s="2"/>
      <c r="H13" s="3"/>
      <c r="I13" s="13" t="s">
        <v>85</v>
      </c>
      <c r="J13" s="64" t="s">
        <v>98</v>
      </c>
      <c r="K13" s="76">
        <f t="shared" si="0"/>
        <v>197.3</v>
      </c>
      <c r="L13" s="76">
        <f t="shared" si="1"/>
        <v>134</v>
      </c>
      <c r="M13" s="81">
        <f t="shared" si="2"/>
        <v>67.900000000000006</v>
      </c>
      <c r="N13" s="78">
        <v>145.1</v>
      </c>
      <c r="O13" s="77">
        <f t="shared" si="3"/>
        <v>0.73499999999999999</v>
      </c>
      <c r="P13" s="17">
        <f t="shared" si="4"/>
        <v>11.1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</row>
    <row r="14" spans="1:88" s="65" customFormat="1" ht="33">
      <c r="A14" s="18" t="s">
        <v>89</v>
      </c>
      <c r="B14" s="19" t="s">
        <v>90</v>
      </c>
      <c r="C14" s="44">
        <f>Лист1!F163/1000</f>
        <v>174.7</v>
      </c>
      <c r="D14" s="44">
        <f>Лист1!J163/1000</f>
        <v>88.2</v>
      </c>
      <c r="E14" s="45">
        <f>Лист1!V163/1000</f>
        <v>1E-3</v>
      </c>
      <c r="F14" s="2"/>
      <c r="G14" s="2"/>
      <c r="H14" s="3"/>
      <c r="I14" s="13" t="s">
        <v>89</v>
      </c>
      <c r="J14" s="64" t="s">
        <v>90</v>
      </c>
      <c r="K14" s="76">
        <f t="shared" si="0"/>
        <v>174.7</v>
      </c>
      <c r="L14" s="76">
        <f t="shared" si="1"/>
        <v>88.2</v>
      </c>
      <c r="M14" s="81">
        <f t="shared" si="2"/>
        <v>50.5</v>
      </c>
      <c r="N14" s="78">
        <v>46</v>
      </c>
      <c r="O14" s="77">
        <f t="shared" si="3"/>
        <v>0.26300000000000001</v>
      </c>
      <c r="P14" s="17">
        <f t="shared" si="4"/>
        <v>-42.2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</row>
    <row r="15" spans="1:88" ht="33">
      <c r="A15" s="18" t="s">
        <v>97</v>
      </c>
      <c r="B15" s="59" t="s">
        <v>61</v>
      </c>
      <c r="C15" s="44">
        <f>Лист1!F108/1000</f>
        <v>9.5</v>
      </c>
      <c r="D15" s="44">
        <f>Лист1!J108/1000</f>
        <v>9.5</v>
      </c>
      <c r="E15" s="45">
        <f>Лист1!V108/1000</f>
        <v>1E-3</v>
      </c>
      <c r="F15" s="2"/>
      <c r="G15" s="2"/>
      <c r="I15" s="13" t="s">
        <v>97</v>
      </c>
      <c r="J15" s="64" t="s">
        <v>61</v>
      </c>
      <c r="K15" s="76">
        <f t="shared" si="0"/>
        <v>9.5</v>
      </c>
      <c r="L15" s="76">
        <f t="shared" si="1"/>
        <v>9.5</v>
      </c>
      <c r="M15" s="81">
        <f t="shared" si="2"/>
        <v>100</v>
      </c>
      <c r="N15" s="78">
        <v>4.3</v>
      </c>
      <c r="O15" s="77">
        <f t="shared" si="3"/>
        <v>0.45300000000000001</v>
      </c>
      <c r="P15" s="17">
        <f t="shared" si="4"/>
        <v>-5.2</v>
      </c>
    </row>
    <row r="16" spans="1:88" s="65" customFormat="1" ht="49.5">
      <c r="A16" s="59">
        <v>10</v>
      </c>
      <c r="B16" s="59" t="s">
        <v>192</v>
      </c>
      <c r="C16" s="44">
        <f>Лист1!F210/1000</f>
        <v>35.9</v>
      </c>
      <c r="D16" s="44">
        <f>Лист1!J210/1000</f>
        <v>4.5</v>
      </c>
      <c r="E16" s="45">
        <f>Лист1!V210/1000</f>
        <v>0</v>
      </c>
      <c r="F16" s="2"/>
      <c r="G16" s="2"/>
      <c r="H16" s="3"/>
      <c r="I16" s="13">
        <v>10</v>
      </c>
      <c r="J16" s="64" t="s">
        <v>192</v>
      </c>
      <c r="K16" s="76">
        <f t="shared" si="0"/>
        <v>35.9</v>
      </c>
      <c r="L16" s="76">
        <f t="shared" si="1"/>
        <v>4.5</v>
      </c>
      <c r="M16" s="81">
        <f t="shared" si="2"/>
        <v>12.5</v>
      </c>
      <c r="N16" s="78">
        <v>0</v>
      </c>
      <c r="O16" s="77">
        <f t="shared" si="3"/>
        <v>0</v>
      </c>
      <c r="P16" s="17">
        <f t="shared" si="4"/>
        <v>-4.5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</row>
    <row r="17" spans="1:88" s="65" customFormat="1" ht="49.5">
      <c r="A17" s="18" t="s">
        <v>244</v>
      </c>
      <c r="B17" s="59" t="s">
        <v>105</v>
      </c>
      <c r="C17" s="44">
        <f>Лист1!F202/1000</f>
        <v>24.2</v>
      </c>
      <c r="D17" s="44">
        <f>Лист1!J202/1000</f>
        <v>20.2</v>
      </c>
      <c r="E17" s="45">
        <f>Лист1!V202/1000</f>
        <v>1E-3</v>
      </c>
      <c r="F17" s="2"/>
      <c r="G17" s="2"/>
      <c r="H17" s="3"/>
      <c r="I17" s="13" t="s">
        <v>244</v>
      </c>
      <c r="J17" s="64" t="s">
        <v>105</v>
      </c>
      <c r="K17" s="76">
        <f t="shared" si="0"/>
        <v>24.2</v>
      </c>
      <c r="L17" s="76">
        <f t="shared" si="1"/>
        <v>20.2</v>
      </c>
      <c r="M17" s="81">
        <f t="shared" si="2"/>
        <v>83.5</v>
      </c>
      <c r="N17" s="78">
        <v>12.4</v>
      </c>
      <c r="O17" s="77">
        <f t="shared" si="3"/>
        <v>0.51200000000000001</v>
      </c>
      <c r="P17" s="17">
        <f t="shared" si="4"/>
        <v>-7.8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</row>
    <row r="18" spans="1:88" ht="22.15" customHeight="1">
      <c r="C18" s="3"/>
      <c r="D18" s="3"/>
      <c r="E18" s="3"/>
      <c r="I18" s="4"/>
      <c r="J18" s="85"/>
      <c r="K18" s="4"/>
      <c r="L18" s="4"/>
      <c r="M18" s="4"/>
      <c r="N18" s="4"/>
      <c r="O18" s="4"/>
    </row>
    <row r="19" spans="1:88" ht="22.15" customHeight="1">
      <c r="C19" s="3"/>
      <c r="D19" s="3">
        <v>4395</v>
      </c>
      <c r="E19" s="3"/>
      <c r="K19" s="3">
        <f>N19-D19</f>
        <v>672.3</v>
      </c>
      <c r="N19" s="3">
        <v>5067.3</v>
      </c>
    </row>
    <row r="20" spans="1:88" ht="22.15" customHeight="1">
      <c r="C20" s="3"/>
      <c r="D20" s="3"/>
      <c r="E20" s="3"/>
    </row>
    <row r="21" spans="1:88" ht="21" customHeight="1">
      <c r="C21" s="3"/>
      <c r="D21" s="3"/>
      <c r="E21" s="3"/>
    </row>
    <row r="22" spans="1:88" ht="21" customHeight="1">
      <c r="C22" s="3"/>
      <c r="D22" s="3"/>
      <c r="E22" s="3"/>
    </row>
    <row r="23" spans="1:88" ht="21" customHeight="1">
      <c r="C23" s="3"/>
      <c r="D23" s="3"/>
      <c r="E23" s="3"/>
    </row>
    <row r="24" spans="1:88" ht="21" customHeight="1">
      <c r="C24" s="3"/>
      <c r="D24" s="3"/>
      <c r="E24" s="3"/>
    </row>
    <row r="25" spans="1:88" ht="17.45" customHeight="1">
      <c r="C25" s="3"/>
      <c r="D25" s="3"/>
      <c r="E25" s="3"/>
    </row>
    <row r="26" spans="1:88" ht="16.149999999999999" customHeight="1">
      <c r="C26" s="3"/>
      <c r="D26" s="3"/>
      <c r="E26" s="3"/>
    </row>
    <row r="27" spans="1:88" ht="17.45" customHeight="1">
      <c r="C27" s="3"/>
      <c r="D27" s="3"/>
      <c r="E27" s="3"/>
    </row>
    <row r="28" spans="1:88" ht="20.45" customHeight="1">
      <c r="C28" s="3"/>
      <c r="D28" s="3"/>
      <c r="E28" s="3"/>
    </row>
    <row r="29" spans="1:88" ht="16.149999999999999" customHeight="1">
      <c r="C29" s="3"/>
      <c r="D29" s="3"/>
      <c r="E29" s="3"/>
    </row>
    <row r="30" spans="1:88" ht="17.45" customHeight="1">
      <c r="C30" s="3"/>
      <c r="D30" s="3"/>
      <c r="E30" s="3"/>
    </row>
    <row r="31" spans="1:88" ht="17.45" customHeight="1">
      <c r="C31" s="3"/>
      <c r="D31" s="3"/>
      <c r="E31" s="3"/>
    </row>
    <row r="32" spans="1:88">
      <c r="C32" s="3"/>
      <c r="D32" s="3"/>
      <c r="E32" s="3"/>
    </row>
    <row r="33" spans="3:5">
      <c r="C33" s="3"/>
      <c r="D33" s="3"/>
      <c r="E33" s="3"/>
    </row>
    <row r="34" spans="3:5">
      <c r="C34" s="3"/>
      <c r="D34" s="3"/>
      <c r="E34" s="3"/>
    </row>
    <row r="35" spans="3:5">
      <c r="C35" s="3"/>
      <c r="D35" s="3"/>
      <c r="E35" s="3"/>
    </row>
    <row r="36" spans="3:5">
      <c r="C36" s="3"/>
      <c r="D36" s="3"/>
      <c r="E36" s="3"/>
    </row>
    <row r="37" spans="3:5">
      <c r="C37" s="3"/>
      <c r="D37" s="3"/>
      <c r="E37" s="3"/>
    </row>
    <row r="38" spans="3:5">
      <c r="C38" s="3"/>
      <c r="D38" s="3"/>
      <c r="E38" s="3"/>
    </row>
    <row r="39" spans="3:5">
      <c r="C39" s="3"/>
      <c r="D39" s="3"/>
      <c r="E39" s="3"/>
    </row>
    <row r="40" spans="3:5">
      <c r="C40" s="3"/>
      <c r="D40" s="3"/>
      <c r="E40" s="3"/>
    </row>
    <row r="41" spans="3:5">
      <c r="C41" s="3"/>
      <c r="D41" s="3"/>
      <c r="E41" s="3"/>
    </row>
    <row r="42" spans="3:5">
      <c r="C42" s="3"/>
      <c r="D42" s="3"/>
      <c r="E42" s="3"/>
    </row>
    <row r="43" spans="3:5">
      <c r="C43" s="3"/>
      <c r="D43" s="3"/>
      <c r="E43" s="3"/>
    </row>
    <row r="44" spans="3:5">
      <c r="C44" s="3"/>
      <c r="D44" s="3"/>
      <c r="E44" s="3"/>
    </row>
    <row r="45" spans="3:5">
      <c r="C45" s="3"/>
      <c r="D45" s="3"/>
      <c r="E45" s="3"/>
    </row>
    <row r="46" spans="3:5">
      <c r="C46" s="3"/>
      <c r="D46" s="3"/>
      <c r="E46" s="3"/>
    </row>
    <row r="47" spans="3:5">
      <c r="C47" s="3"/>
      <c r="D47" s="3"/>
      <c r="E47" s="3"/>
    </row>
    <row r="48" spans="3:5">
      <c r="C48" s="3"/>
      <c r="D48" s="3"/>
      <c r="E48" s="3"/>
    </row>
    <row r="49" spans="3:5">
      <c r="C49" s="3"/>
      <c r="D49" s="3"/>
      <c r="E49" s="3"/>
    </row>
  </sheetData>
  <customSheetViews>
    <customSheetView guid="{FE09AB06-1ECE-4486-BCA1-E9D85830708B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1"/>
    </customSheetView>
    <customSheetView guid="{93EA31E7-8B3D-4C73-8B82-ECC92251AB38}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2"/>
    </customSheetView>
    <customSheetView guid="{CFE875CB-1045-45F7-825E-02100661E885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3"/>
    </customSheetView>
    <customSheetView guid="{F6FA4751-5470-442B-8CE2-1DF7C5920E7E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4"/>
    </customSheetView>
  </customSheetViews>
  <mergeCells count="6">
    <mergeCell ref="N4:O4"/>
    <mergeCell ref="A1:E2"/>
    <mergeCell ref="I4:I5"/>
    <mergeCell ref="J4:J5"/>
    <mergeCell ref="K4:K5"/>
    <mergeCell ref="L4:M4"/>
  </mergeCells>
  <pageMargins left="0.7" right="0.7" top="0.75" bottom="0.75" header="0.3" footer="0.3"/>
  <pageSetup paperSize="9" scale="70" orientation="portrait" r:id="rId5"/>
  <colBreaks count="1" manualBreakCount="1">
    <brk id="8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nma</cp:lastModifiedBy>
  <cp:lastPrinted>2021-11-09T02:14:22Z</cp:lastPrinted>
  <dcterms:created xsi:type="dcterms:W3CDTF">2006-09-28T05:33:49Z</dcterms:created>
  <dcterms:modified xsi:type="dcterms:W3CDTF">2022-12-02T04:36:48Z</dcterms:modified>
</cp:coreProperties>
</file>