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revisions/revisionLog16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61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4111.xml" ContentType="application/vnd.openxmlformats-officedocument.spreadsheetml.revisionLog+xml"/>
  <Override PartName="/xl/revisions/revisionLog141111.xml" ContentType="application/vnd.openxmlformats-officedocument.spreadsheetml.revisionLog+xml"/>
  <Override PartName="/xl/revisions/revisionLog131111.xml" ContentType="application/vnd.openxmlformats-officedocument.spreadsheetml.revisionLog+xml"/>
  <Default Extension="rels" ContentType="application/vnd.openxmlformats-package.relationships+xml"/>
  <Override PartName="/xl/revisions/revisionLog1411.xml" ContentType="application/vnd.openxmlformats-officedocument.spreadsheetml.revisionLog+xml"/>
  <Override PartName="/xl/revisions/revisionLog151.xml" ContentType="application/vnd.openxmlformats-officedocument.spreadsheetml.revisionLog+xml"/>
  <Override PartName="/xl/revisions/revisionLog161.xml" ContentType="application/vnd.openxmlformats-officedocument.spreadsheetml.revisionLog+xml"/>
  <Override PartName="/xl/revisions/revisionLog171.xml" ContentType="application/vnd.openxmlformats-officedocument.spreadsheetml.revisionLog+xml"/>
  <Override PartName="/xl/revisions/revisionLog15111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121111.xml" ContentType="application/vnd.openxmlformats-officedocument.spreadsheetml.revisionLog+xml"/>
  <Override PartName="/xl/revisions/revisionLog181.xml" ContentType="application/vnd.openxmlformats-officedocument.spreadsheetml.revisionLog+xml"/>
  <Override PartName="/xl/revisions/revisionLog19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41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16111.xml" ContentType="application/vnd.openxmlformats-officedocument.spreadsheetml.revisionLog+xml"/>
  <Override PartName="/xl/revisions/revisionLog1711.xml" ContentType="application/vnd.openxmlformats-officedocument.spreadsheetml.revisionLog+xml"/>
  <Override PartName="/xl/worksheets/sheet2.xml" ContentType="application/vnd.openxmlformats-officedocument.spreadsheetml.worksheet+xml"/>
  <Override PartName="/xl/revisions/revisionHeaders.xml" ContentType="application/vnd.openxmlformats-officedocument.spreadsheetml.revisionHeaders+xml"/>
  <Override PartName="/xl/revisions/revisionLog14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2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511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xl/revisions/revisionLog1411111.xml" ContentType="application/vnd.openxmlformats-officedocument.spreadsheetml.revisionLog+xml"/>
  <Override PartName="/docProps/core.xml" ContentType="application/vnd.openxmlformats-package.core-properties+xml"/>
  <Override PartName="/xl/revisions/revisionLog13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225" windowWidth="16935" windowHeight="12510"/>
  </bookViews>
  <sheets>
    <sheet name="Лист1" sheetId="1" r:id="rId1"/>
    <sheet name="Лист2" sheetId="2" r:id="rId2"/>
  </sheets>
  <definedNames>
    <definedName name="_xlnm._FilterDatabase" localSheetId="0" hidden="1">Лист1!$E$12:$E$207</definedName>
    <definedName name="Z_8DBC8541_9868_41A7_9A9F_A27FC80CBA37_.wvu.FilterData" localSheetId="0" hidden="1">Лист1!$E$12:$E$207</definedName>
    <definedName name="Z_8DBC8541_9868_41A7_9A9F_A27FC80CBA37_.wvu.PrintArea" localSheetId="0" hidden="1">Лист1!$A$1:$V$207</definedName>
    <definedName name="Z_8DBC8541_9868_41A7_9A9F_A27FC80CBA37_.wvu.PrintTitles" localSheetId="0" hidden="1">Лист1!$4:$7</definedName>
    <definedName name="Z_CFE875CB_1045_45F7_825E_02100661E885_.wvu.Cols" localSheetId="1" hidden="1">Лист2!$F:$G</definedName>
    <definedName name="Z_CFE875CB_1045_45F7_825E_02100661E885_.wvu.FilterData" localSheetId="0" hidden="1">Лист1!$A$7:$V$207</definedName>
    <definedName name="Z_CFE875CB_1045_45F7_825E_02100661E885_.wvu.PrintArea" localSheetId="0" hidden="1">Лист1!$A$1:$V$207</definedName>
    <definedName name="Z_CFE875CB_1045_45F7_825E_02100661E885_.wvu.PrintArea" localSheetId="1" hidden="1">Лист2!$A$1:$O$19</definedName>
    <definedName name="Z_CFE875CB_1045_45F7_825E_02100661E885_.wvu.PrintTitles" localSheetId="0" hidden="1">Лист1!$4:$7</definedName>
    <definedName name="Z_FE09AB06_1ECE_4486_BCA1_E9D85830708B_.wvu.Cols" localSheetId="1" hidden="1">Лист2!$F:$G</definedName>
    <definedName name="Z_FE09AB06_1ECE_4486_BCA1_E9D85830708B_.wvu.FilterData" localSheetId="0" hidden="1">Лист1!$E$12:$E$207</definedName>
    <definedName name="Z_FE09AB06_1ECE_4486_BCA1_E9D85830708B_.wvu.PrintArea" localSheetId="0" hidden="1">Лист1!$A$1:$V$207</definedName>
    <definedName name="Z_FE09AB06_1ECE_4486_BCA1_E9D85830708B_.wvu.PrintArea" localSheetId="1" hidden="1">Лист2!$A$1:$O$19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Лист1!$A$1:$V$207</definedName>
    <definedName name="_xlnm.Print_Area" localSheetId="1">Лист2!$A$1:$O$19</definedName>
  </definedNames>
  <calcPr calcId="125725" fullPrecision="0"/>
  <customWorkbookViews>
    <customWorkbookView name="nma - Личное представление" guid="{FE09AB06-1ECE-4486-BCA1-E9D85830708B}" mergeInterval="0" personalView="1" xWindow="83" yWindow="17" windowWidth="1109" windowHeight="792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gmp - Личное представление" guid="{8DBC8541-9868-41A7-9A9F-A27FC80CBA37}" mergeInterval="0" personalView="1" maximized="1" xWindow="1" yWindow="1" windowWidth="1916" windowHeight="845" activeSheetId="2"/>
  </customWorkbookViews>
</workbook>
</file>

<file path=xl/calcChain.xml><?xml version="1.0" encoding="utf-8"?>
<calcChain xmlns="http://schemas.openxmlformats.org/spreadsheetml/2006/main">
  <c r="P122" i="1"/>
  <c r="L138" l="1"/>
  <c r="L135"/>
  <c r="L130"/>
  <c r="R117"/>
  <c r="N117"/>
  <c r="J117"/>
  <c r="F117"/>
  <c r="V117" l="1"/>
  <c r="L129"/>
  <c r="R63"/>
  <c r="N63"/>
  <c r="J63"/>
  <c r="F63"/>
  <c r="V63" l="1"/>
  <c r="J101"/>
  <c r="I142"/>
  <c r="M142"/>
  <c r="L94" l="1"/>
  <c r="K112" l="1"/>
  <c r="K94"/>
  <c r="K18"/>
  <c r="H59" l="1"/>
  <c r="T65"/>
  <c r="P65"/>
  <c r="H65"/>
  <c r="H60"/>
  <c r="P58"/>
  <c r="T57"/>
  <c r="P57"/>
  <c r="O57"/>
  <c r="H57"/>
  <c r="G59"/>
  <c r="O65"/>
  <c r="G109"/>
  <c r="K159"/>
  <c r="O159"/>
  <c r="M159"/>
  <c r="P159"/>
  <c r="Q159"/>
  <c r="T159"/>
  <c r="U159"/>
  <c r="S159"/>
  <c r="L159"/>
  <c r="H159"/>
  <c r="I159"/>
  <c r="G159"/>
  <c r="R169"/>
  <c r="N169"/>
  <c r="J169"/>
  <c r="F169"/>
  <c r="R167"/>
  <c r="N167"/>
  <c r="J167"/>
  <c r="F167"/>
  <c r="V167" l="1"/>
  <c r="V169"/>
  <c r="R103"/>
  <c r="R101"/>
  <c r="N103"/>
  <c r="N101"/>
  <c r="K101"/>
  <c r="L101"/>
  <c r="M101"/>
  <c r="I101"/>
  <c r="H101"/>
  <c r="G101"/>
  <c r="F103"/>
  <c r="F101" s="1"/>
  <c r="R80" l="1"/>
  <c r="N80"/>
  <c r="F80"/>
  <c r="S65"/>
  <c r="G65"/>
  <c r="G57"/>
  <c r="V80" l="1"/>
  <c r="O58"/>
  <c r="S57"/>
  <c r="R50" l="1"/>
  <c r="N50"/>
  <c r="J50"/>
  <c r="F50"/>
  <c r="R145"/>
  <c r="N145"/>
  <c r="J145"/>
  <c r="F145"/>
  <c r="O69"/>
  <c r="V50" l="1"/>
  <c r="V145"/>
  <c r="G48"/>
  <c r="R49"/>
  <c r="N49"/>
  <c r="J49"/>
  <c r="F49"/>
  <c r="V49" l="1"/>
  <c r="G44"/>
  <c r="K124"/>
  <c r="K19"/>
  <c r="H44" l="1"/>
  <c r="H205"/>
  <c r="G14" l="1"/>
  <c r="G13"/>
  <c r="G12"/>
  <c r="F28"/>
  <c r="J28"/>
  <c r="N28"/>
  <c r="R28"/>
  <c r="F29"/>
  <c r="J29"/>
  <c r="N29"/>
  <c r="R29"/>
  <c r="F71"/>
  <c r="J71"/>
  <c r="N71"/>
  <c r="R71"/>
  <c r="T45"/>
  <c r="U45"/>
  <c r="S45"/>
  <c r="P45"/>
  <c r="Q45"/>
  <c r="O45"/>
  <c r="L45"/>
  <c r="M45"/>
  <c r="K45"/>
  <c r="H45"/>
  <c r="I45"/>
  <c r="G45"/>
  <c r="F51"/>
  <c r="J51"/>
  <c r="N51"/>
  <c r="R51"/>
  <c r="G205"/>
  <c r="O151"/>
  <c r="H61"/>
  <c r="P186"/>
  <c r="O186"/>
  <c r="L186"/>
  <c r="M186"/>
  <c r="K186"/>
  <c r="H64"/>
  <c r="G147"/>
  <c r="S146"/>
  <c r="O146"/>
  <c r="G146"/>
  <c r="G95"/>
  <c r="K95"/>
  <c r="G79"/>
  <c r="G19"/>
  <c r="F62"/>
  <c r="J62"/>
  <c r="N62"/>
  <c r="R62"/>
  <c r="O60"/>
  <c r="F48"/>
  <c r="J48"/>
  <c r="N48"/>
  <c r="R48"/>
  <c r="V71" l="1"/>
  <c r="V29"/>
  <c r="V48"/>
  <c r="V51"/>
  <c r="V28"/>
  <c r="V62"/>
  <c r="F65"/>
  <c r="F76"/>
  <c r="J76"/>
  <c r="N76"/>
  <c r="R76"/>
  <c r="S81"/>
  <c r="O81"/>
  <c r="G81"/>
  <c r="G55"/>
  <c r="F64"/>
  <c r="J64"/>
  <c r="N64"/>
  <c r="R64"/>
  <c r="G192"/>
  <c r="V76" l="1"/>
  <c r="V64"/>
  <c r="L52"/>
  <c r="K52"/>
  <c r="G52"/>
  <c r="T124"/>
  <c r="U124"/>
  <c r="S124"/>
  <c r="P124"/>
  <c r="Q124"/>
  <c r="O124"/>
  <c r="L124"/>
  <c r="M124"/>
  <c r="H124"/>
  <c r="I124"/>
  <c r="G124"/>
  <c r="R127"/>
  <c r="N127"/>
  <c r="J127"/>
  <c r="F127"/>
  <c r="F124" l="1"/>
  <c r="V127"/>
  <c r="Q186" l="1"/>
  <c r="T186"/>
  <c r="U186"/>
  <c r="S186"/>
  <c r="R188"/>
  <c r="R189"/>
  <c r="R190"/>
  <c r="R191"/>
  <c r="R192"/>
  <c r="R193"/>
  <c r="R194"/>
  <c r="N188"/>
  <c r="N189"/>
  <c r="N190"/>
  <c r="N191"/>
  <c r="N192"/>
  <c r="N193"/>
  <c r="N194"/>
  <c r="J188"/>
  <c r="J189"/>
  <c r="J190"/>
  <c r="J191"/>
  <c r="J192"/>
  <c r="J193"/>
  <c r="J194"/>
  <c r="H186"/>
  <c r="I186"/>
  <c r="G186"/>
  <c r="F188"/>
  <c r="F189"/>
  <c r="F190"/>
  <c r="F191"/>
  <c r="F192"/>
  <c r="F193"/>
  <c r="F194"/>
  <c r="G179"/>
  <c r="T175"/>
  <c r="U175"/>
  <c r="S175"/>
  <c r="P175"/>
  <c r="Q175"/>
  <c r="O175"/>
  <c r="L175"/>
  <c r="M175"/>
  <c r="K175"/>
  <c r="H175"/>
  <c r="I175"/>
  <c r="G175"/>
  <c r="R177"/>
  <c r="N177"/>
  <c r="J177"/>
  <c r="F177"/>
  <c r="R161"/>
  <c r="N161"/>
  <c r="J161"/>
  <c r="F161"/>
  <c r="T142"/>
  <c r="U142"/>
  <c r="S142"/>
  <c r="P142"/>
  <c r="Q142"/>
  <c r="O142"/>
  <c r="L142"/>
  <c r="K142"/>
  <c r="H142"/>
  <c r="G142"/>
  <c r="G153"/>
  <c r="N156"/>
  <c r="R156"/>
  <c r="J156"/>
  <c r="F156"/>
  <c r="R144"/>
  <c r="R146"/>
  <c r="R147"/>
  <c r="R148"/>
  <c r="N144"/>
  <c r="N146"/>
  <c r="N147"/>
  <c r="J144"/>
  <c r="J146"/>
  <c r="J147"/>
  <c r="F144"/>
  <c r="F146"/>
  <c r="F147"/>
  <c r="T135"/>
  <c r="U135"/>
  <c r="S135"/>
  <c r="P135"/>
  <c r="Q135"/>
  <c r="O135"/>
  <c r="R137"/>
  <c r="M135"/>
  <c r="K135"/>
  <c r="H135"/>
  <c r="I135"/>
  <c r="G135"/>
  <c r="R126"/>
  <c r="N126"/>
  <c r="J126"/>
  <c r="F126"/>
  <c r="R122"/>
  <c r="N122"/>
  <c r="J122"/>
  <c r="F122"/>
  <c r="G119"/>
  <c r="T114"/>
  <c r="U114"/>
  <c r="S114"/>
  <c r="P114"/>
  <c r="Q114"/>
  <c r="O114"/>
  <c r="R116"/>
  <c r="N116"/>
  <c r="L114"/>
  <c r="M114"/>
  <c r="K114"/>
  <c r="J116"/>
  <c r="H114"/>
  <c r="I114"/>
  <c r="G114"/>
  <c r="F116"/>
  <c r="T110"/>
  <c r="U110"/>
  <c r="S110"/>
  <c r="T105"/>
  <c r="U105"/>
  <c r="S105"/>
  <c r="P105"/>
  <c r="Q105"/>
  <c r="O105"/>
  <c r="R107"/>
  <c r="R108"/>
  <c r="R109"/>
  <c r="N107"/>
  <c r="N108"/>
  <c r="N109"/>
  <c r="J107"/>
  <c r="J108"/>
  <c r="J109"/>
  <c r="L105"/>
  <c r="M105"/>
  <c r="K105"/>
  <c r="H105"/>
  <c r="I105"/>
  <c r="G105"/>
  <c r="F107"/>
  <c r="F108"/>
  <c r="F109"/>
  <c r="I67"/>
  <c r="H67"/>
  <c r="G67"/>
  <c r="K67"/>
  <c r="L67"/>
  <c r="M67"/>
  <c r="O67"/>
  <c r="Q67"/>
  <c r="S67"/>
  <c r="U67"/>
  <c r="T67"/>
  <c r="P67"/>
  <c r="O52"/>
  <c r="T52"/>
  <c r="S52"/>
  <c r="P52"/>
  <c r="V146" l="1"/>
  <c r="V191"/>
  <c r="N175"/>
  <c r="V194"/>
  <c r="V190"/>
  <c r="V144"/>
  <c r="V192"/>
  <c r="V188"/>
  <c r="V193"/>
  <c r="V189"/>
  <c r="V147"/>
  <c r="F175"/>
  <c r="V161"/>
  <c r="V122"/>
  <c r="V177"/>
  <c r="J175"/>
  <c r="V156"/>
  <c r="U113"/>
  <c r="G113"/>
  <c r="I113"/>
  <c r="Q113"/>
  <c r="M113"/>
  <c r="V116"/>
  <c r="U104"/>
  <c r="V126"/>
  <c r="T104"/>
  <c r="S104"/>
  <c r="V109"/>
  <c r="N67"/>
  <c r="V108"/>
  <c r="F57"/>
  <c r="R47"/>
  <c r="R59"/>
  <c r="R60"/>
  <c r="N59"/>
  <c r="N60"/>
  <c r="J59"/>
  <c r="J60"/>
  <c r="F59"/>
  <c r="F60"/>
  <c r="F61"/>
  <c r="J61"/>
  <c r="N61"/>
  <c r="R61"/>
  <c r="T55"/>
  <c r="U55"/>
  <c r="S55"/>
  <c r="P55"/>
  <c r="Q55"/>
  <c r="O55"/>
  <c r="H55"/>
  <c r="I55"/>
  <c r="K55"/>
  <c r="L55"/>
  <c r="M55"/>
  <c r="H52"/>
  <c r="I52"/>
  <c r="R57"/>
  <c r="R58"/>
  <c r="N57"/>
  <c r="N58"/>
  <c r="J57"/>
  <c r="J58"/>
  <c r="F58"/>
  <c r="R13"/>
  <c r="R14"/>
  <c r="R15"/>
  <c r="R12"/>
  <c r="N13"/>
  <c r="N14"/>
  <c r="N15"/>
  <c r="N12"/>
  <c r="J13"/>
  <c r="J14"/>
  <c r="J15"/>
  <c r="J12"/>
  <c r="F13"/>
  <c r="F14"/>
  <c r="F15"/>
  <c r="F12"/>
  <c r="F18"/>
  <c r="V58" l="1"/>
  <c r="F52"/>
  <c r="V175"/>
  <c r="V60"/>
  <c r="V61"/>
  <c r="F55"/>
  <c r="V57"/>
  <c r="V59"/>
  <c r="R55"/>
  <c r="J55"/>
  <c r="N55"/>
  <c r="V55" l="1"/>
  <c r="F35"/>
  <c r="J35"/>
  <c r="R35"/>
  <c r="N35"/>
  <c r="G31" l="1"/>
  <c r="V35"/>
  <c r="F166" l="1"/>
  <c r="J166"/>
  <c r="N166"/>
  <c r="R166"/>
  <c r="V166" l="1"/>
  <c r="F33"/>
  <c r="H31"/>
  <c r="P110" l="1"/>
  <c r="P104" s="1"/>
  <c r="Q110"/>
  <c r="Q104" s="1"/>
  <c r="O110"/>
  <c r="O104" s="1"/>
  <c r="L110"/>
  <c r="L104" s="1"/>
  <c r="M110"/>
  <c r="M104" s="1"/>
  <c r="K110"/>
  <c r="K104" s="1"/>
  <c r="H110"/>
  <c r="H104" s="1"/>
  <c r="I110"/>
  <c r="I104" s="1"/>
  <c r="F112"/>
  <c r="J112"/>
  <c r="N112"/>
  <c r="R112"/>
  <c r="G110" l="1"/>
  <c r="G104" s="1"/>
  <c r="V112"/>
  <c r="G10" l="1"/>
  <c r="F73"/>
  <c r="J73"/>
  <c r="N73"/>
  <c r="R73"/>
  <c r="F74"/>
  <c r="J74"/>
  <c r="N74"/>
  <c r="R74"/>
  <c r="V14" l="1"/>
  <c r="V74"/>
  <c r="V73"/>
  <c r="K19" i="2"/>
  <c r="I25" i="1" l="1"/>
  <c r="F164" l="1"/>
  <c r="J164"/>
  <c r="N164"/>
  <c r="R164"/>
  <c r="F79"/>
  <c r="J79"/>
  <c r="N79"/>
  <c r="R79"/>
  <c r="U182"/>
  <c r="Q182"/>
  <c r="L182"/>
  <c r="M182"/>
  <c r="K182"/>
  <c r="I182"/>
  <c r="F184"/>
  <c r="J184"/>
  <c r="N184"/>
  <c r="R184"/>
  <c r="V164" l="1"/>
  <c r="V79"/>
  <c r="T182"/>
  <c r="O182"/>
  <c r="S182"/>
  <c r="P182"/>
  <c r="V184"/>
  <c r="H182"/>
  <c r="F30" l="1"/>
  <c r="J30"/>
  <c r="N30"/>
  <c r="R30"/>
  <c r="R123"/>
  <c r="N123"/>
  <c r="J123"/>
  <c r="F123"/>
  <c r="M10"/>
  <c r="H10"/>
  <c r="R82"/>
  <c r="N82"/>
  <c r="J82"/>
  <c r="F82"/>
  <c r="G182"/>
  <c r="F182" s="1"/>
  <c r="V30" l="1"/>
  <c r="V82"/>
  <c r="V123"/>
  <c r="F81" l="1"/>
  <c r="J81"/>
  <c r="N81"/>
  <c r="R81"/>
  <c r="V81" l="1"/>
  <c r="G25" l="1"/>
  <c r="G138" l="1"/>
  <c r="F121"/>
  <c r="R205"/>
  <c r="R204"/>
  <c r="R200"/>
  <c r="R199"/>
  <c r="R195"/>
  <c r="R185"/>
  <c r="R181"/>
  <c r="R174"/>
  <c r="R173"/>
  <c r="R172"/>
  <c r="R168"/>
  <c r="R165"/>
  <c r="R163"/>
  <c r="R162"/>
  <c r="R157"/>
  <c r="R155"/>
  <c r="R152"/>
  <c r="R151"/>
  <c r="R140"/>
  <c r="R133"/>
  <c r="R132"/>
  <c r="R128"/>
  <c r="R121"/>
  <c r="R118"/>
  <c r="R100"/>
  <c r="R97"/>
  <c r="R96"/>
  <c r="R95"/>
  <c r="R94"/>
  <c r="R93"/>
  <c r="R92"/>
  <c r="R89"/>
  <c r="R88"/>
  <c r="R87"/>
  <c r="R86"/>
  <c r="R85"/>
  <c r="R78"/>
  <c r="R77"/>
  <c r="R75"/>
  <c r="R72"/>
  <c r="R70"/>
  <c r="R69"/>
  <c r="R65"/>
  <c r="R54"/>
  <c r="R44"/>
  <c r="R43"/>
  <c r="R40"/>
  <c r="R39"/>
  <c r="R34"/>
  <c r="R33"/>
  <c r="R27"/>
  <c r="R24"/>
  <c r="R23"/>
  <c r="R22"/>
  <c r="R21"/>
  <c r="R20"/>
  <c r="R19"/>
  <c r="R18"/>
  <c r="U202"/>
  <c r="U201" s="1"/>
  <c r="U197"/>
  <c r="U196" s="1"/>
  <c r="U179"/>
  <c r="U170"/>
  <c r="U153"/>
  <c r="U149"/>
  <c r="U138"/>
  <c r="U130"/>
  <c r="U98"/>
  <c r="U90"/>
  <c r="U83"/>
  <c r="U52"/>
  <c r="U41"/>
  <c r="U37"/>
  <c r="U31"/>
  <c r="U25"/>
  <c r="U16"/>
  <c r="U10"/>
  <c r="N205"/>
  <c r="N204"/>
  <c r="N200"/>
  <c r="N199"/>
  <c r="N195"/>
  <c r="N185"/>
  <c r="N181"/>
  <c r="N174"/>
  <c r="N173"/>
  <c r="N172"/>
  <c r="N168"/>
  <c r="N165"/>
  <c r="N163"/>
  <c r="N162"/>
  <c r="N157"/>
  <c r="N155"/>
  <c r="N152"/>
  <c r="N151"/>
  <c r="N148"/>
  <c r="N140"/>
  <c r="N137"/>
  <c r="N133"/>
  <c r="N132"/>
  <c r="N128"/>
  <c r="N121"/>
  <c r="N118"/>
  <c r="N100"/>
  <c r="N97"/>
  <c r="N96"/>
  <c r="N95"/>
  <c r="N94"/>
  <c r="N93"/>
  <c r="N92"/>
  <c r="N89"/>
  <c r="N88"/>
  <c r="N87"/>
  <c r="N86"/>
  <c r="N85"/>
  <c r="N78"/>
  <c r="N77"/>
  <c r="N75"/>
  <c r="N72"/>
  <c r="N70"/>
  <c r="N69"/>
  <c r="N65"/>
  <c r="N54"/>
  <c r="N47"/>
  <c r="N44"/>
  <c r="N43"/>
  <c r="N40"/>
  <c r="N39"/>
  <c r="N34"/>
  <c r="N33"/>
  <c r="N27"/>
  <c r="N24"/>
  <c r="N23"/>
  <c r="N22"/>
  <c r="N21"/>
  <c r="N20"/>
  <c r="N19"/>
  <c r="N18"/>
  <c r="Q202"/>
  <c r="Q201" s="1"/>
  <c r="Q197"/>
  <c r="Q196" s="1"/>
  <c r="Q179"/>
  <c r="Q170"/>
  <c r="Q153"/>
  <c r="Q149"/>
  <c r="Q138"/>
  <c r="Q130"/>
  <c r="Q98"/>
  <c r="Q90"/>
  <c r="Q83"/>
  <c r="Q52"/>
  <c r="Q41"/>
  <c r="Q37"/>
  <c r="Q31"/>
  <c r="Q25"/>
  <c r="Q16"/>
  <c r="Q10"/>
  <c r="J205"/>
  <c r="J204"/>
  <c r="M202"/>
  <c r="M201" s="1"/>
  <c r="L202"/>
  <c r="L201" s="1"/>
  <c r="K202"/>
  <c r="K201" s="1"/>
  <c r="J200"/>
  <c r="J199"/>
  <c r="M197"/>
  <c r="M196" s="1"/>
  <c r="L197"/>
  <c r="L196" s="1"/>
  <c r="K197"/>
  <c r="K196" s="1"/>
  <c r="J195"/>
  <c r="J185"/>
  <c r="J181"/>
  <c r="M179"/>
  <c r="L179"/>
  <c r="K179"/>
  <c r="J174"/>
  <c r="J173"/>
  <c r="J172"/>
  <c r="M170"/>
  <c r="M158" s="1"/>
  <c r="L170"/>
  <c r="L158" s="1"/>
  <c r="K170"/>
  <c r="K158" s="1"/>
  <c r="J168"/>
  <c r="J165"/>
  <c r="J163"/>
  <c r="J162"/>
  <c r="J157"/>
  <c r="J155"/>
  <c r="M153"/>
  <c r="L153"/>
  <c r="K153"/>
  <c r="J152"/>
  <c r="J151"/>
  <c r="M149"/>
  <c r="L149"/>
  <c r="K149"/>
  <c r="J148"/>
  <c r="J140"/>
  <c r="M138"/>
  <c r="K138"/>
  <c r="J137"/>
  <c r="J133"/>
  <c r="J132"/>
  <c r="M130"/>
  <c r="K130"/>
  <c r="J128"/>
  <c r="J121"/>
  <c r="L119"/>
  <c r="L113" s="1"/>
  <c r="K119"/>
  <c r="K113" s="1"/>
  <c r="J118"/>
  <c r="J100"/>
  <c r="M98"/>
  <c r="L98"/>
  <c r="K98"/>
  <c r="J97"/>
  <c r="J96"/>
  <c r="J95"/>
  <c r="J94"/>
  <c r="J93"/>
  <c r="J92"/>
  <c r="M90"/>
  <c r="L90"/>
  <c r="K90"/>
  <c r="J89"/>
  <c r="J88"/>
  <c r="J87"/>
  <c r="J86"/>
  <c r="J85"/>
  <c r="M83"/>
  <c r="L83"/>
  <c r="K83"/>
  <c r="J78"/>
  <c r="J77"/>
  <c r="J75"/>
  <c r="J72"/>
  <c r="J70"/>
  <c r="J69"/>
  <c r="J65"/>
  <c r="J54"/>
  <c r="M52"/>
  <c r="J47"/>
  <c r="J44"/>
  <c r="J43"/>
  <c r="M41"/>
  <c r="L41"/>
  <c r="K41"/>
  <c r="J40"/>
  <c r="J39"/>
  <c r="M37"/>
  <c r="L37"/>
  <c r="K37"/>
  <c r="J34"/>
  <c r="J33"/>
  <c r="M31"/>
  <c r="L31"/>
  <c r="K31"/>
  <c r="J27"/>
  <c r="M25"/>
  <c r="L25"/>
  <c r="K25"/>
  <c r="J24"/>
  <c r="J23"/>
  <c r="J22"/>
  <c r="J21"/>
  <c r="J20"/>
  <c r="J19"/>
  <c r="J18"/>
  <c r="M16"/>
  <c r="L16"/>
  <c r="K16"/>
  <c r="L10"/>
  <c r="K10"/>
  <c r="F19"/>
  <c r="F20"/>
  <c r="F21"/>
  <c r="F22"/>
  <c r="F23"/>
  <c r="F24"/>
  <c r="F27"/>
  <c r="F34"/>
  <c r="F39"/>
  <c r="F40"/>
  <c r="F43"/>
  <c r="F44"/>
  <c r="F47"/>
  <c r="F54"/>
  <c r="F69"/>
  <c r="F70"/>
  <c r="F72"/>
  <c r="F75"/>
  <c r="F77"/>
  <c r="F78"/>
  <c r="F85"/>
  <c r="F86"/>
  <c r="F87"/>
  <c r="F88"/>
  <c r="F89"/>
  <c r="F92"/>
  <c r="F93"/>
  <c r="F94"/>
  <c r="F95"/>
  <c r="F96"/>
  <c r="F97"/>
  <c r="F100"/>
  <c r="F118"/>
  <c r="F128"/>
  <c r="F132"/>
  <c r="F133"/>
  <c r="F137"/>
  <c r="F140"/>
  <c r="F148"/>
  <c r="F151"/>
  <c r="F152"/>
  <c r="F155"/>
  <c r="F157"/>
  <c r="F162"/>
  <c r="F163"/>
  <c r="F165"/>
  <c r="F168"/>
  <c r="F172"/>
  <c r="F173"/>
  <c r="F174"/>
  <c r="F181"/>
  <c r="F185"/>
  <c r="F195"/>
  <c r="F199"/>
  <c r="F200"/>
  <c r="F204"/>
  <c r="F205"/>
  <c r="I202"/>
  <c r="I201" s="1"/>
  <c r="I197"/>
  <c r="I196" s="1"/>
  <c r="I179"/>
  <c r="I170"/>
  <c r="I158" s="1"/>
  <c r="I153"/>
  <c r="I149"/>
  <c r="I138"/>
  <c r="I130"/>
  <c r="I98"/>
  <c r="I90"/>
  <c r="I83"/>
  <c r="I41"/>
  <c r="I37"/>
  <c r="I31"/>
  <c r="I16"/>
  <c r="I10"/>
  <c r="F10" s="1"/>
  <c r="V162" l="1"/>
  <c r="M66"/>
  <c r="Q66"/>
  <c r="I66"/>
  <c r="V137"/>
  <c r="U66"/>
  <c r="V77"/>
  <c r="V168"/>
  <c r="L66"/>
  <c r="K66"/>
  <c r="V204"/>
  <c r="Q158"/>
  <c r="V155"/>
  <c r="V128"/>
  <c r="V165"/>
  <c r="V163"/>
  <c r="V100"/>
  <c r="M36"/>
  <c r="Q36"/>
  <c r="L36"/>
  <c r="I36"/>
  <c r="K36"/>
  <c r="U36"/>
  <c r="K178"/>
  <c r="Q9"/>
  <c r="R67"/>
  <c r="V75"/>
  <c r="I9"/>
  <c r="K129"/>
  <c r="I178"/>
  <c r="Q129"/>
  <c r="Q178"/>
  <c r="M129"/>
  <c r="M178"/>
  <c r="L178"/>
  <c r="U178"/>
  <c r="U129"/>
  <c r="I129"/>
  <c r="L9"/>
  <c r="M9"/>
  <c r="K9"/>
  <c r="U9"/>
  <c r="V151"/>
  <c r="V15"/>
  <c r="V88"/>
  <c r="V148"/>
  <c r="V54"/>
  <c r="V39"/>
  <c r="V27"/>
  <c r="V20"/>
  <c r="V40"/>
  <c r="V44"/>
  <c r="V118"/>
  <c r="V13"/>
  <c r="V65"/>
  <c r="V69"/>
  <c r="V78"/>
  <c r="V89"/>
  <c r="V133"/>
  <c r="V152"/>
  <c r="V157"/>
  <c r="V172"/>
  <c r="V47"/>
  <c r="V199"/>
  <c r="V121"/>
  <c r="V34"/>
  <c r="V12"/>
  <c r="V33"/>
  <c r="V85"/>
  <c r="V93"/>
  <c r="V96"/>
  <c r="V174"/>
  <c r="V181"/>
  <c r="V94"/>
  <c r="V19"/>
  <c r="V22"/>
  <c r="V24"/>
  <c r="V43"/>
  <c r="V72"/>
  <c r="V92"/>
  <c r="V95"/>
  <c r="V132"/>
  <c r="V140"/>
  <c r="V18"/>
  <c r="V21"/>
  <c r="V23"/>
  <c r="V70"/>
  <c r="V97"/>
  <c r="M141"/>
  <c r="V173"/>
  <c r="V195"/>
  <c r="V200"/>
  <c r="U141"/>
  <c r="J186"/>
  <c r="J202"/>
  <c r="J98"/>
  <c r="Q141"/>
  <c r="J114"/>
  <c r="J110"/>
  <c r="J138"/>
  <c r="J170"/>
  <c r="I141"/>
  <c r="J25"/>
  <c r="J105"/>
  <c r="J124"/>
  <c r="J135"/>
  <c r="J52"/>
  <c r="L141"/>
  <c r="J153"/>
  <c r="J182"/>
  <c r="J159"/>
  <c r="K141"/>
  <c r="J142"/>
  <c r="J130"/>
  <c r="J90"/>
  <c r="J83"/>
  <c r="J67"/>
  <c r="J45"/>
  <c r="J41"/>
  <c r="J37"/>
  <c r="J31"/>
  <c r="J16"/>
  <c r="J10"/>
  <c r="J149"/>
  <c r="J179"/>
  <c r="J197"/>
  <c r="J119"/>
  <c r="V103" l="1"/>
  <c r="V101"/>
  <c r="J178"/>
  <c r="D13" i="2" s="1"/>
  <c r="L13" s="1"/>
  <c r="J141" i="1"/>
  <c r="J196"/>
  <c r="D17" i="2" s="1"/>
  <c r="L17" s="1"/>
  <c r="M8" i="1"/>
  <c r="J104"/>
  <c r="D15" i="2" s="1"/>
  <c r="L15" s="1"/>
  <c r="P15" s="1"/>
  <c r="J113" i="1"/>
  <c r="J201"/>
  <c r="D16" i="2" s="1"/>
  <c r="L16" s="1"/>
  <c r="P16" s="1"/>
  <c r="Q8" i="1"/>
  <c r="J158"/>
  <c r="D14" i="2" s="1"/>
  <c r="L14" s="1"/>
  <c r="P14" s="1"/>
  <c r="J129" i="1"/>
  <c r="J66"/>
  <c r="D11" i="2" s="1"/>
  <c r="L11" s="1"/>
  <c r="P11" s="1"/>
  <c r="L8" i="1"/>
  <c r="J36"/>
  <c r="D9" i="2" s="1"/>
  <c r="L9" s="1"/>
  <c r="J9" i="1"/>
  <c r="D8" i="2" s="1"/>
  <c r="L8" s="1"/>
  <c r="P8" s="1"/>
  <c r="K8" i="1"/>
  <c r="I8"/>
  <c r="J8" l="1"/>
  <c r="D12" i="2"/>
  <c r="L12" s="1"/>
  <c r="P12" s="1"/>
  <c r="D10"/>
  <c r="L10" s="1"/>
  <c r="P10" s="1"/>
  <c r="D7"/>
  <c r="L7" s="1"/>
  <c r="P7" s="1"/>
  <c r="P13"/>
  <c r="P9"/>
  <c r="P17"/>
  <c r="D6" l="1"/>
  <c r="L6" s="1"/>
  <c r="P6" s="1"/>
  <c r="T202" i="1"/>
  <c r="T201" s="1"/>
  <c r="S202"/>
  <c r="S201" s="1"/>
  <c r="T197"/>
  <c r="T196" s="1"/>
  <c r="S197"/>
  <c r="S196" s="1"/>
  <c r="T179"/>
  <c r="S179"/>
  <c r="T170"/>
  <c r="S170"/>
  <c r="T153"/>
  <c r="S153"/>
  <c r="T149"/>
  <c r="S149"/>
  <c r="T138"/>
  <c r="S138"/>
  <c r="T130"/>
  <c r="S130"/>
  <c r="T119"/>
  <c r="T113" s="1"/>
  <c r="S119"/>
  <c r="S113" s="1"/>
  <c r="T98"/>
  <c r="S98"/>
  <c r="T90"/>
  <c r="S90"/>
  <c r="T83"/>
  <c r="S83"/>
  <c r="T41"/>
  <c r="S41"/>
  <c r="T37"/>
  <c r="S37"/>
  <c r="T31"/>
  <c r="S31"/>
  <c r="T25"/>
  <c r="S25"/>
  <c r="T16"/>
  <c r="S16"/>
  <c r="T10"/>
  <c r="S10"/>
  <c r="P202"/>
  <c r="P201" s="1"/>
  <c r="O202"/>
  <c r="O201" s="1"/>
  <c r="P197"/>
  <c r="P196" s="1"/>
  <c r="O197"/>
  <c r="O196" s="1"/>
  <c r="P179"/>
  <c r="O179"/>
  <c r="P170"/>
  <c r="O170"/>
  <c r="P153"/>
  <c r="O153"/>
  <c r="P149"/>
  <c r="O149"/>
  <c r="P138"/>
  <c r="O138"/>
  <c r="P130"/>
  <c r="O130"/>
  <c r="P119"/>
  <c r="P113" s="1"/>
  <c r="O119"/>
  <c r="O113" s="1"/>
  <c r="P98"/>
  <c r="O98"/>
  <c r="P90"/>
  <c r="O90"/>
  <c r="P83"/>
  <c r="O83"/>
  <c r="P41"/>
  <c r="O41"/>
  <c r="P37"/>
  <c r="O37"/>
  <c r="P31"/>
  <c r="O31"/>
  <c r="P25"/>
  <c r="O25"/>
  <c r="P16"/>
  <c r="O16"/>
  <c r="P10"/>
  <c r="O10"/>
  <c r="H202"/>
  <c r="H201" s="1"/>
  <c r="G202"/>
  <c r="G201" s="1"/>
  <c r="G197"/>
  <c r="G196" s="1"/>
  <c r="H179"/>
  <c r="G170"/>
  <c r="G158" s="1"/>
  <c r="H170"/>
  <c r="H158" s="1"/>
  <c r="H153"/>
  <c r="H149"/>
  <c r="H138"/>
  <c r="H130"/>
  <c r="G130"/>
  <c r="H119"/>
  <c r="G98"/>
  <c r="H98"/>
  <c r="H90"/>
  <c r="G83"/>
  <c r="H83"/>
  <c r="G41"/>
  <c r="H37"/>
  <c r="H16"/>
  <c r="O66" l="1"/>
  <c r="S66"/>
  <c r="P66"/>
  <c r="H66"/>
  <c r="T66"/>
  <c r="F158"/>
  <c r="O158"/>
  <c r="P158"/>
  <c r="F119"/>
  <c r="H113"/>
  <c r="T36"/>
  <c r="P36"/>
  <c r="O36"/>
  <c r="S36"/>
  <c r="P9"/>
  <c r="R135"/>
  <c r="G129"/>
  <c r="O129"/>
  <c r="O178"/>
  <c r="G178"/>
  <c r="H178"/>
  <c r="P129"/>
  <c r="P178"/>
  <c r="H129"/>
  <c r="T129"/>
  <c r="T178"/>
  <c r="S129"/>
  <c r="S178"/>
  <c r="O9"/>
  <c r="T9"/>
  <c r="S9"/>
  <c r="R186"/>
  <c r="R16"/>
  <c r="R31"/>
  <c r="R37"/>
  <c r="R52"/>
  <c r="R83"/>
  <c r="R98"/>
  <c r="R105"/>
  <c r="R114"/>
  <c r="R130"/>
  <c r="R142"/>
  <c r="R179"/>
  <c r="R197"/>
  <c r="R10"/>
  <c r="R25"/>
  <c r="R41"/>
  <c r="R45"/>
  <c r="R90"/>
  <c r="R110"/>
  <c r="R119"/>
  <c r="R138"/>
  <c r="R149"/>
  <c r="R159"/>
  <c r="R170"/>
  <c r="R182"/>
  <c r="R153"/>
  <c r="R124"/>
  <c r="R202"/>
  <c r="N119"/>
  <c r="F186"/>
  <c r="V186" s="1"/>
  <c r="N124"/>
  <c r="N135"/>
  <c r="N202"/>
  <c r="N16"/>
  <c r="N31"/>
  <c r="N37"/>
  <c r="N52"/>
  <c r="N83"/>
  <c r="N98"/>
  <c r="N105"/>
  <c r="N114"/>
  <c r="N130"/>
  <c r="N142"/>
  <c r="N153"/>
  <c r="N179"/>
  <c r="N197"/>
  <c r="N10"/>
  <c r="N25"/>
  <c r="N41"/>
  <c r="N45"/>
  <c r="N90"/>
  <c r="N110"/>
  <c r="N138"/>
  <c r="N149"/>
  <c r="N159"/>
  <c r="N170"/>
  <c r="N182"/>
  <c r="N186"/>
  <c r="V124"/>
  <c r="F135"/>
  <c r="V135" s="1"/>
  <c r="F98"/>
  <c r="V98" s="1"/>
  <c r="F114"/>
  <c r="V114" s="1"/>
  <c r="F142"/>
  <c r="V142" s="1"/>
  <c r="V182"/>
  <c r="F202"/>
  <c r="V202" s="1"/>
  <c r="F45"/>
  <c r="V45" s="1"/>
  <c r="F130"/>
  <c r="V130" s="1"/>
  <c r="F138"/>
  <c r="V138" s="1"/>
  <c r="F179"/>
  <c r="F153"/>
  <c r="V153" s="1"/>
  <c r="F83"/>
  <c r="V83" s="1"/>
  <c r="F170"/>
  <c r="V170" s="1"/>
  <c r="P141"/>
  <c r="T141"/>
  <c r="H141"/>
  <c r="S141"/>
  <c r="O141"/>
  <c r="G37"/>
  <c r="G36" s="1"/>
  <c r="F31"/>
  <c r="V31" s="1"/>
  <c r="G149"/>
  <c r="H25"/>
  <c r="F25" s="1"/>
  <c r="V25" s="1"/>
  <c r="H41"/>
  <c r="F41" s="1"/>
  <c r="V41" s="1"/>
  <c r="G16"/>
  <c r="F16" s="1"/>
  <c r="V16" s="1"/>
  <c r="F105"/>
  <c r="V105" s="1"/>
  <c r="F110"/>
  <c r="V110" s="1"/>
  <c r="H197"/>
  <c r="H196" s="1"/>
  <c r="G90"/>
  <c r="F90" s="1"/>
  <c r="V90" s="1"/>
  <c r="F178" l="1"/>
  <c r="N178"/>
  <c r="G66"/>
  <c r="F66" s="1"/>
  <c r="H36"/>
  <c r="V179"/>
  <c r="F37"/>
  <c r="V37" s="1"/>
  <c r="N129"/>
  <c r="H9"/>
  <c r="G9"/>
  <c r="R113"/>
  <c r="R178"/>
  <c r="R9"/>
  <c r="R201"/>
  <c r="R196"/>
  <c r="R129"/>
  <c r="R66"/>
  <c r="N113"/>
  <c r="N104"/>
  <c r="N9"/>
  <c r="R104"/>
  <c r="R141"/>
  <c r="N201"/>
  <c r="N158"/>
  <c r="R36"/>
  <c r="N141"/>
  <c r="F113"/>
  <c r="V119"/>
  <c r="N36"/>
  <c r="N196"/>
  <c r="N66"/>
  <c r="F67"/>
  <c r="V67" s="1"/>
  <c r="F159"/>
  <c r="V159" s="1"/>
  <c r="F196"/>
  <c r="V52"/>
  <c r="F201"/>
  <c r="G141"/>
  <c r="F141" s="1"/>
  <c r="F149"/>
  <c r="V149" s="1"/>
  <c r="F129"/>
  <c r="V10"/>
  <c r="F197"/>
  <c r="V197" s="1"/>
  <c r="P8"/>
  <c r="O8"/>
  <c r="F104"/>
  <c r="V104" s="1"/>
  <c r="N8" l="1"/>
  <c r="E15" i="2"/>
  <c r="C15"/>
  <c r="K15" s="1"/>
  <c r="V196" i="1"/>
  <c r="E17" i="2" s="1"/>
  <c r="C17"/>
  <c r="K17" s="1"/>
  <c r="V66" i="1"/>
  <c r="E11" i="2" s="1"/>
  <c r="C11"/>
  <c r="K11" s="1"/>
  <c r="V201" i="1"/>
  <c r="E16" i="2" s="1"/>
  <c r="C16"/>
  <c r="K16" s="1"/>
  <c r="V158" i="1"/>
  <c r="E14" i="2" s="1"/>
  <c r="C14"/>
  <c r="K14" s="1"/>
  <c r="V113" i="1"/>
  <c r="E10" i="2" s="1"/>
  <c r="C10"/>
  <c r="K10" s="1"/>
  <c r="V129" i="1"/>
  <c r="E12" i="2" s="1"/>
  <c r="C12"/>
  <c r="K12" s="1"/>
  <c r="V141" i="1"/>
  <c r="E7" i="2" s="1"/>
  <c r="C7"/>
  <c r="K7" s="1"/>
  <c r="V178" i="1"/>
  <c r="E13" i="2" s="1"/>
  <c r="C13"/>
  <c r="K13" s="1"/>
  <c r="F36" i="1"/>
  <c r="F9"/>
  <c r="H8"/>
  <c r="G8"/>
  <c r="V36" l="1"/>
  <c r="E9" i="2" s="1"/>
  <c r="C9"/>
  <c r="K9" s="1"/>
  <c r="M7"/>
  <c r="O7"/>
  <c r="M10"/>
  <c r="O10"/>
  <c r="V9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F8" i="1"/>
  <c r="C6" i="2" s="1"/>
  <c r="K6" s="1"/>
  <c r="O9" l="1"/>
  <c r="M9"/>
  <c r="M6"/>
  <c r="O6"/>
  <c r="M8"/>
  <c r="O8"/>
  <c r="V8" i="1"/>
  <c r="E6" i="2" s="1"/>
  <c r="S158" i="1"/>
  <c r="S8" l="1"/>
  <c r="R175"/>
  <c r="U158"/>
  <c r="U8" s="1"/>
  <c r="T158"/>
  <c r="T8" s="1"/>
  <c r="R8" l="1"/>
  <c r="R158"/>
</calcChain>
</file>

<file path=xl/sharedStrings.xml><?xml version="1.0" encoding="utf-8"?>
<sst xmlns="http://schemas.openxmlformats.org/spreadsheetml/2006/main" count="793" uniqueCount="375">
  <si>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</si>
  <si>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</si>
  <si>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</si>
  <si>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</si>
  <si>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</si>
  <si>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</si>
  <si>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</si>
  <si>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</si>
  <si>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</si>
  <si>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</si>
  <si>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</si>
  <si>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</si>
  <si>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</si>
  <si>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</si>
  <si>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</si>
  <si>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</si>
  <si>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</si>
  <si>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</si>
  <si>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</si>
  <si>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</si>
  <si>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</si>
  <si>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</si>
  <si>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</si>
  <si>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</si>
  <si>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</si>
  <si>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</si>
  <si>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</si>
  <si>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</si>
  <si>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</si>
  <si>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</si>
  <si>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</si>
  <si>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</si>
  <si>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</si>
  <si>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</si>
  <si>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</si>
  <si>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</si>
  <si>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</si>
  <si>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</si>
  <si>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</si>
  <si>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</si>
  <si>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</si>
  <si>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</si>
  <si>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</si>
  <si>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</si>
  <si>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</si>
  <si>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</si>
  <si>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</si>
  <si>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</si>
  <si>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</si>
  <si>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</si>
  <si>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</si>
  <si>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</si>
  <si>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</si>
  <si>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</si>
  <si>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</si>
  <si>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</si>
  <si>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</si>
  <si>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</si>
  <si>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</si>
  <si>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</si>
  <si>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</si>
  <si>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</si>
  <si>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</si>
  <si>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</si>
  <si>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</si>
  <si>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</si>
  <si>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</si>
  <si>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</si>
  <si>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</si>
  <si>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</si>
  <si>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</si>
  <si>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</si>
  <si>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</si>
  <si>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</si>
  <si>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</si>
  <si>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</si>
  <si>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</si>
  <si>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</si>
  <si>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</si>
  <si>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</si>
  <si>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</si>
  <si>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</si>
  <si>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</si>
  <si>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</si>
  <si>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</si>
  <si>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7</t>
  </si>
  <si>
    <t>Национальный проект "Безопасные и качественные автомобильные дороги"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</si>
  <si>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</si>
  <si>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</si>
  <si>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</si>
  <si>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</si>
  <si>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</si>
  <si>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</si>
  <si>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</si>
  <si>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</si>
  <si>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</si>
  <si>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</si>
  <si>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</si>
  <si>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</si>
  <si>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</si>
  <si>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</si>
  <si>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</si>
  <si>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</si>
  <si>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</si>
  <si>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</si>
  <si>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</si>
  <si>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</si>
  <si>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</si>
  <si>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</si>
  <si>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</si>
  <si>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03WI555274</t>
  </si>
  <si>
    <t>03WL252961</t>
  </si>
  <si>
    <t>Повышение эффективности службы занятости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</si>
  <si>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</si>
  <si>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</si>
  <si>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</si>
  <si>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</si>
  <si>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</si>
  <si>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</si>
  <si>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</si>
  <si>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</si>
  <si>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</si>
  <si>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</si>
  <si>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</si>
  <si>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</si>
  <si>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</si>
  <si>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</si>
  <si>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</si>
  <si>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</si>
  <si>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</si>
  <si>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</si>
  <si>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</si>
  <si>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</si>
  <si>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</si>
  <si>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</si>
  <si>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</si>
  <si>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</si>
  <si>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</si>
  <si>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</si>
  <si>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</si>
  <si>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</si>
  <si>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</si>
  <si>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</si>
  <si>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</si>
  <si>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</si>
  <si>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</si>
  <si>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</si>
  <si>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</si>
  <si>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</si>
  <si>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</si>
  <si>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</si>
  <si>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</si>
  <si>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</si>
  <si>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</si>
  <si>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</si>
  <si>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</si>
  <si>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</si>
  <si>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15WGА54290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</si>
  <si>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</si>
  <si>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</si>
  <si>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</si>
  <si>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</si>
  <si>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</si>
  <si>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20WD622500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</si>
  <si>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</si>
  <si>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</si>
  <si>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</si>
  <si>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</si>
  <si>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</si>
  <si>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</si>
  <si>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</si>
  <si>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</si>
  <si>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</si>
  <si>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</si>
  <si>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</si>
  <si>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03WL252962</t>
  </si>
  <si>
    <t>09WE452101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</si>
  <si>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</si>
  <si>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</si>
  <si>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</si>
  <si>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</si>
  <si>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</si>
  <si>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</si>
  <si>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</si>
  <si>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</si>
  <si>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</si>
  <si>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</si>
  <si>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</si>
  <si>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</si>
  <si>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</si>
  <si>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</si>
  <si>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</si>
  <si>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</si>
  <si>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</si>
  <si>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</si>
  <si>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</si>
  <si>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</si>
  <si>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</si>
  <si>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</si>
  <si>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</si>
  <si>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</si>
  <si>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</si>
  <si>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</si>
  <si>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03WI555279</t>
  </si>
  <si>
    <t>05WP252910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</si>
  <si>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</si>
  <si>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</si>
  <si>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</si>
  <si>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</si>
  <si>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</si>
  <si>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</si>
  <si>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</si>
  <si>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</si>
  <si>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</si>
  <si>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</si>
  <si>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</si>
  <si>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</si>
  <si>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</si>
  <si>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</si>
  <si>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</si>
  <si>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</si>
  <si>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</si>
  <si>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</si>
  <si>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</si>
  <si>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</si>
  <si>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</si>
  <si>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</si>
  <si>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</si>
  <si>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</si>
  <si>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</si>
  <si>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</si>
  <si>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</si>
  <si>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</si>
  <si>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</si>
  <si>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</si>
  <si>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09WE152301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</si>
  <si>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</si>
  <si>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Департамент по управлению государственной собственностью Томской области</t>
  </si>
  <si>
    <t>06WI554800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</si>
  <si>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</si>
  <si>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</si>
  <si>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</si>
  <si>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</si>
  <si>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</si>
  <si>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</si>
  <si>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</si>
  <si>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</si>
  <si>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</si>
  <si>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</si>
  <si>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09WE141890</t>
  </si>
  <si>
    <t>09WE153050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</si>
  <si>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</si>
  <si>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</si>
  <si>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</si>
  <si>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</si>
  <si>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11WP30И130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</si>
  <si>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</si>
  <si>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811</t>
  </si>
  <si>
    <t>821</t>
  </si>
  <si>
    <t>839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</si>
  <si>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</si>
  <si>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</si>
  <si>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</si>
  <si>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</si>
  <si>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</si>
  <si>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</si>
  <si>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</si>
  <si>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</si>
  <si>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</si>
  <si>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</si>
  <si>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</si>
  <si>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</si>
  <si>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</si>
  <si>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</si>
  <si>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</si>
  <si>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детских технопарков "Кванториум"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</si>
  <si>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</si>
  <si>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Создание новых мест в общеобразовательных организациях</t>
  </si>
  <si>
    <t>Оснащение отремонтированных зданий и (или) помещений общеобразовательных организаций современными средствами обучения и воспитания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</si>
  <si>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</si>
  <si>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815</t>
  </si>
  <si>
    <t>09WE141880</t>
  </si>
  <si>
    <t>09WE151730</t>
  </si>
  <si>
    <t>09WE153051</t>
  </si>
  <si>
    <t>09WE157501</t>
  </si>
  <si>
    <t>09WE164800</t>
  </si>
  <si>
    <t>816</t>
  </si>
  <si>
    <t>Создание (обновление) материально-технической базы образовательных организаций, реализующих программы среднего профессионального образования</t>
  </si>
  <si>
    <t>09WE653590</t>
  </si>
  <si>
    <t>20WD253540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</si>
  <si>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</si>
  <si>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Реализация мероприятий по созданию и организации работы единой службы оперативной помощи гражданам по номеру "122"</t>
  </si>
  <si>
    <t>825</t>
  </si>
  <si>
    <t>804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</si>
  <si>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</si>
  <si>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</si>
  <si>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</si>
  <si>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</si>
  <si>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</si>
  <si>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828</t>
  </si>
  <si>
    <t>838</t>
  </si>
  <si>
    <t>Региональный проект "Сохранение уникальных водных объектов"</t>
  </si>
  <si>
    <t>Развитие инфраструктуры дорожного хозяйства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</si>
  <si>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</si>
  <si>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18WR153890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</si>
  <si>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</si>
  <si>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</si>
  <si>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</si>
  <si>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</si>
  <si>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</si>
  <si>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</si>
  <si>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</si>
  <si>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</si>
  <si>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</si>
  <si>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</si>
  <si>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</si>
  <si>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</si>
  <si>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</si>
  <si>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</si>
  <si>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обществу с ограниченной ответственностью "Центр инновационного развития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</si>
  <si>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автономной некоммерческой организации "Томский региональный инжиниринговый центр"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</si>
  <si>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</si>
  <si>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</si>
  <si>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Субсидия Ассоциации инновационного развития АПК Томской области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</si>
  <si>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03WI555275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</si>
  <si>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</si>
  <si>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</si>
  <si>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</si>
  <si>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</si>
  <si>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* по данным сводной бюджетной росписи областного бюджета на 2022-2024 годы по состоянию на отчетную дату; лимиты бюджетных обязательств соответствуют плановым назначениям</t>
  </si>
  <si>
    <t>Подготовка проектной документации на объекты водоснабжения (в том числе проведение инженерных изысканий)</t>
  </si>
  <si>
    <t>19WF54П130</t>
  </si>
  <si>
    <t>Информационно-методическое сопровождение кружкового движения и организация проведения Национальной технологической олимпиады</t>
  </si>
  <si>
    <t>Региональный проект "Чистая вода", всего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</si>
  <si>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</si>
  <si>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Региональный проект "Цифровая культура"</t>
  </si>
  <si>
    <t>11WP30П130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</si>
  <si>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</si>
  <si>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</si>
  <si>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</si>
  <si>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</si>
  <si>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</si>
  <si>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</si>
  <si>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07WN352270</t>
  </si>
  <si>
    <t>Новое строительство и реконструкция</t>
  </si>
  <si>
    <t>07WN953655</t>
  </si>
  <si>
    <t>Реализация региональных проектов модернизации первичного звена здравоохранения (приобретение объектов недвижимого имущества для размещения медицинских организаций)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</si>
  <si>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</si>
  <si>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</si>
  <si>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</si>
  <si>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09WE14П010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</si>
  <si>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</si>
  <si>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09WP252320</t>
  </si>
  <si>
    <t>09WP252321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</si>
  <si>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</si>
  <si>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Развитие инфраструктуры дорожного хозяйства за счет средств резервного фонда Правительства Российской Федерации</t>
  </si>
  <si>
    <t>18WR15389F</t>
  </si>
  <si>
    <t>Региональный проект "Патриотическое воспитание граждан Российской Федерации"</t>
  </si>
  <si>
    <t>3.5</t>
  </si>
  <si>
    <t>Обеспечение оснащения государственных и муниципальных общеобразовательных организаций, в том числе структурных подразделений указанных организаций, государственными символами Российской Федерации</t>
  </si>
  <si>
    <t>09WEВ57860</t>
  </si>
  <si>
    <t xml:space="preserve">Осуществление авторского надзороа </t>
  </si>
  <si>
    <t>10WA155195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</si>
  <si>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</si>
  <si>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</si>
  <si>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</si>
  <si>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***</t>
  </si>
  <si>
    <t xml:space="preserve">*** Бюджетные ассигнования за счёт средств федерального бюджета в сумме 302 282,9 тыс. рублей были предусмотрены в 2022 году в областном бюджете на приобретение школы на 1100 мест в мкр.Северный парк Томского района на основании соглашения, заключенного Томской областью с Минпросвещения России 24.12.2021. </t>
  </si>
  <si>
    <t xml:space="preserve">Фактически, в целях обеспечения начала учебного процесса раньше запланированных сроков, школа была приобретена в 2021 году за счёт выделения дополнительного объёма средств из областного бюджета.  14.06.2022 подписан акт сверки между Томской областью и Минпросвещения России на возмещение за счёт средств федерального бюджета расходов областного бюджета в сумме 302 282,9 тыс. рублей.  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</si>
  <si>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01.09.2022</t>
  </si>
  <si>
    <t>07WN953656</t>
  </si>
  <si>
    <t>Реализация региональных проектов модернизации первичного звена здравоохранения (авторский надзор при строительстве объектов капитального строительства медицинских организаций)</t>
  </si>
  <si>
    <t>13WF25424F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</si>
  <si>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 за счет средств резервного фонда Правительства Российской Федерации</t>
  </si>
  <si>
    <t>Процент исполнения по национальному проекту "Образование" с учетом возмещения за счёт средств федерального бюджета расходов областного бюджета составляет 57,4 %, по региональному проекту "Современная школа" - 52,6 %.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</si>
</sst>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3" borderId="0" xfId="0" applyFont="1" applyFill="1" applyAlignment="1">
      <alignment horizontal="right"/>
    </xf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164" fontId="2" fillId="3" borderId="0" xfId="0" applyNumberFormat="1" applyFont="1" applyFill="1"/>
    <xf numFmtId="0" fontId="2" fillId="3" borderId="0" xfId="0" applyFont="1" applyFill="1"/>
    <xf numFmtId="0" fontId="7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4" fontId="10" fillId="3" borderId="4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164" fontId="13" fillId="3" borderId="4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4" fontId="10" fillId="3" borderId="4" xfId="0" applyNumberFormat="1" applyFont="1" applyFill="1" applyBorder="1" applyAlignment="1">
      <alignment horizontal="center" vertical="center" wrapText="1"/>
    </xf>
    <xf numFmtId="4" fontId="6" fillId="3" borderId="4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164" fontId="10" fillId="3" borderId="4" xfId="0" applyNumberFormat="1" applyFont="1" applyFill="1" applyBorder="1" applyAlignment="1">
      <alignment horizontal="center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14" fillId="0" borderId="0" xfId="0" applyFont="1" applyAlignment="1">
      <alignment wrapText="1"/>
    </xf>
    <xf numFmtId="49" fontId="7" fillId="3" borderId="1" xfId="0" applyNumberFormat="1" applyFont="1" applyFill="1" applyBorder="1" applyAlignment="1">
      <alignment horizontal="center" vertical="center"/>
    </xf>
    <xf numFmtId="49" fontId="12" fillId="3" borderId="13" xfId="0" applyNumberFormat="1" applyFont="1" applyFill="1" applyBorder="1" applyAlignment="1" applyProtection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.xml"/><Relationship Id="rId3" Type="http://schemas.openxmlformats.org/officeDocument/2006/relationships/theme" Target="theme/theme1.xml"/><Relationship Id="rId7" Type="http://schemas.openxmlformats.org/officeDocument/2006/relationships/revisionHeaders" Target="revisions/revisionHeader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1.xml"/><Relationship Id="rId13" Type="http://schemas.openxmlformats.org/officeDocument/2006/relationships/revisionLog" Target="revisionLog12.xml"/><Relationship Id="rId18" Type="http://schemas.openxmlformats.org/officeDocument/2006/relationships/revisionLog" Target="revisionLog13.xml"/><Relationship Id="rId26" Type="http://schemas.openxmlformats.org/officeDocument/2006/relationships/revisionLog" Target="revisionLog14.xml"/><Relationship Id="rId21" Type="http://schemas.openxmlformats.org/officeDocument/2006/relationships/revisionLog" Target="revisionLog141.xml"/><Relationship Id="rId34" Type="http://schemas.openxmlformats.org/officeDocument/2006/relationships/revisionLog" Target="revisionLog15.xml"/><Relationship Id="rId7" Type="http://schemas.openxmlformats.org/officeDocument/2006/relationships/revisionLog" Target="revisionLog121.xml"/><Relationship Id="rId12" Type="http://schemas.openxmlformats.org/officeDocument/2006/relationships/revisionLog" Target="revisionLog131.xml"/><Relationship Id="rId17" Type="http://schemas.openxmlformats.org/officeDocument/2006/relationships/revisionLog" Target="revisionLog1411.xml"/><Relationship Id="rId25" Type="http://schemas.openxmlformats.org/officeDocument/2006/relationships/revisionLog" Target="revisionLog151.xml"/><Relationship Id="rId33" Type="http://schemas.openxmlformats.org/officeDocument/2006/relationships/revisionLog" Target="revisionLog16.xml"/><Relationship Id="rId29" Type="http://schemas.openxmlformats.org/officeDocument/2006/relationships/revisionLog" Target="revisionLog161.xml"/><Relationship Id="rId16" Type="http://schemas.openxmlformats.org/officeDocument/2006/relationships/revisionLog" Target="revisionLog14111.xml"/><Relationship Id="rId20" Type="http://schemas.openxmlformats.org/officeDocument/2006/relationships/revisionLog" Target="revisionLog1511.xml"/><Relationship Id="rId24" Type="http://schemas.openxmlformats.org/officeDocument/2006/relationships/revisionLog" Target="revisionLog1611.xml"/><Relationship Id="rId6" Type="http://schemas.openxmlformats.org/officeDocument/2006/relationships/revisionLog" Target="revisionLog1211.xml"/><Relationship Id="rId11" Type="http://schemas.openxmlformats.org/officeDocument/2006/relationships/revisionLog" Target="revisionLog1311.xml"/><Relationship Id="rId32" Type="http://schemas.openxmlformats.org/officeDocument/2006/relationships/revisionLog" Target="revisionLog17.xml"/><Relationship Id="rId5" Type="http://schemas.openxmlformats.org/officeDocument/2006/relationships/revisionLog" Target="revisionLog12111.xml"/><Relationship Id="rId15" Type="http://schemas.openxmlformats.org/officeDocument/2006/relationships/revisionLog" Target="revisionLog141111.xml"/><Relationship Id="rId23" Type="http://schemas.openxmlformats.org/officeDocument/2006/relationships/revisionLog" Target="revisionLog16111.xml"/><Relationship Id="rId28" Type="http://schemas.openxmlformats.org/officeDocument/2006/relationships/revisionLog" Target="revisionLog171.xml"/><Relationship Id="rId36" Type="http://schemas.openxmlformats.org/officeDocument/2006/relationships/revisionLog" Target="revisionLog1.xml"/><Relationship Id="rId10" Type="http://schemas.openxmlformats.org/officeDocument/2006/relationships/revisionLog" Target="revisionLog13111.xml"/><Relationship Id="rId19" Type="http://schemas.openxmlformats.org/officeDocument/2006/relationships/revisionLog" Target="revisionLog15111.xml"/><Relationship Id="rId31" Type="http://schemas.openxmlformats.org/officeDocument/2006/relationships/revisionLog" Target="revisionLog18.xml"/><Relationship Id="rId4" Type="http://schemas.openxmlformats.org/officeDocument/2006/relationships/revisionLog" Target="revisionLog121111.xml"/><Relationship Id="rId9" Type="http://schemas.openxmlformats.org/officeDocument/2006/relationships/revisionLog" Target="revisionLog131111.xml"/><Relationship Id="rId14" Type="http://schemas.openxmlformats.org/officeDocument/2006/relationships/revisionLog" Target="revisionLog1411111.xml"/><Relationship Id="rId22" Type="http://schemas.openxmlformats.org/officeDocument/2006/relationships/revisionLog" Target="revisionLog161111.xml"/><Relationship Id="rId27" Type="http://schemas.openxmlformats.org/officeDocument/2006/relationships/revisionLog" Target="revisionLog1711.xml"/><Relationship Id="rId30" Type="http://schemas.openxmlformats.org/officeDocument/2006/relationships/revisionLog" Target="revisionLog181.xml"/><Relationship Id="rId35" Type="http://schemas.openxmlformats.org/officeDocument/2006/relationships/revisionLog" Target="revisionLog19.xml"/></Relationships>
</file>

<file path=xl/revisions/revisionHeaders.xml><?xml version="1.0" encoding="utf-8"?>
<headers xmlns="http://schemas.openxmlformats.org/spreadsheetml/2006/main" xmlns:r="http://schemas.openxmlformats.org/officeDocument/2006/relationships" guid="{3148C381-AB11-4355-A929-245294721BA1}" diskRevisions="1" revisionId="326" version="36">
  <header guid="{2B73FD53-2A1E-4975-B860-A22B2FABAC8C}" dateTime="2022-08-09T12:05:25" maxSheetId="3" userName="nma" r:id="rId4" minRId="18">
    <sheetIdMap count="2">
      <sheetId val="1"/>
      <sheetId val="2"/>
    </sheetIdMap>
  </header>
  <header guid="{132714EC-2F5C-46E3-A925-BA4A6400C159}" dateTime="2022-08-29T17:50:49" maxSheetId="3" userName="nma" r:id="rId5" minRId="24">
    <sheetIdMap count="2">
      <sheetId val="1"/>
      <sheetId val="2"/>
    </sheetIdMap>
  </header>
  <header guid="{DEA8F71D-85EA-4CE3-A873-6FF8E323CCFC}" dateTime="2022-09-01T09:27:10" maxSheetId="3" userName="nma" r:id="rId6" minRId="30">
    <sheetIdMap count="2">
      <sheetId val="1"/>
      <sheetId val="2"/>
    </sheetIdMap>
  </header>
  <header guid="{078972CA-47D9-4D30-9A1A-52448414A823}" dateTime="2022-09-01T17:35:50" maxSheetId="3" userName="nma" r:id="rId7" minRId="36">
    <sheetIdMap count="2">
      <sheetId val="1"/>
      <sheetId val="2"/>
    </sheetIdMap>
  </header>
  <header guid="{5D325808-E474-4C64-AC48-8B7D08752115}" dateTime="2022-09-02T09:34:21" maxSheetId="3" userName="nma" r:id="rId8" minRId="42" maxRId="64">
    <sheetIdMap count="2">
      <sheetId val="1"/>
      <sheetId val="2"/>
    </sheetIdMap>
  </header>
  <header guid="{DA0F6A77-4F07-4724-AE83-22590087CD8F}" dateTime="2022-09-02T09:39:02" maxSheetId="3" userName="nma" r:id="rId9" minRId="70" maxRId="76">
    <sheetIdMap count="2">
      <sheetId val="1"/>
      <sheetId val="2"/>
    </sheetIdMap>
  </header>
  <header guid="{CAF57E5D-AE84-48AF-9EAC-09A63CC712FB}" dateTime="2022-09-02T09:46:17" maxSheetId="3" userName="nma" r:id="rId10" minRId="82" maxRId="102">
    <sheetIdMap count="2">
      <sheetId val="1"/>
      <sheetId val="2"/>
    </sheetIdMap>
  </header>
  <header guid="{50623F04-6E33-4DA2-8D2A-124387752767}" dateTime="2022-09-02T09:46:22" maxSheetId="3" userName="nma" r:id="rId11">
    <sheetIdMap count="2">
      <sheetId val="1"/>
      <sheetId val="2"/>
    </sheetIdMap>
  </header>
  <header guid="{30A13E10-FAC5-43AA-AE20-531B72DA6965}" dateTime="2022-09-02T09:52:03" maxSheetId="3" userName="nma" r:id="rId12" minRId="113" maxRId="120">
    <sheetIdMap count="2">
      <sheetId val="1"/>
      <sheetId val="2"/>
    </sheetIdMap>
  </header>
  <header guid="{3282E02E-8C6C-4EB2-876A-CB55AE3A8148}" dateTime="2022-09-02T09:52:37" maxSheetId="3" userName="nma" r:id="rId13" minRId="126">
    <sheetIdMap count="2">
      <sheetId val="1"/>
      <sheetId val="2"/>
    </sheetIdMap>
  </header>
  <header guid="{4FFA626B-E1FA-4D25-9798-78FF7C5755F1}" dateTime="2022-09-02T09:54:58" maxSheetId="3" userName="nma" r:id="rId14" minRId="132" maxRId="137">
    <sheetIdMap count="2">
      <sheetId val="1"/>
      <sheetId val="2"/>
    </sheetIdMap>
  </header>
  <header guid="{039A3550-E860-4779-9858-5A6A24EAE729}" dateTime="2022-09-02T10:02:09" maxSheetId="3" userName="nma" r:id="rId15" minRId="143" maxRId="149">
    <sheetIdMap count="2">
      <sheetId val="1"/>
      <sheetId val="2"/>
    </sheetIdMap>
  </header>
  <header guid="{BAC44DC7-8F23-4B1C-AFE9-4DEEB9A8F455}" dateTime="2022-09-02T10:02:58" maxSheetId="3" userName="nma" r:id="rId16" minRId="155" maxRId="157">
    <sheetIdMap count="2">
      <sheetId val="1"/>
      <sheetId val="2"/>
    </sheetIdMap>
  </header>
  <header guid="{FF409A6D-9F8C-4E8A-89BC-A7E99D2D8D83}" dateTime="2022-09-02T10:04:02" maxSheetId="3" userName="nma" r:id="rId17" minRId="163">
    <sheetIdMap count="2">
      <sheetId val="1"/>
      <sheetId val="2"/>
    </sheetIdMap>
  </header>
  <header guid="{472C8F10-E61E-4ECF-A013-5F898BAE50C1}" dateTime="2022-09-02T10:04:35" maxSheetId="3" userName="nma" r:id="rId18">
    <sheetIdMap count="2">
      <sheetId val="1"/>
      <sheetId val="2"/>
    </sheetIdMap>
  </header>
  <header guid="{6CA90292-ACAF-4131-ABD3-D41ADE0C9D78}" dateTime="2022-09-02T10:05:05" maxSheetId="3" userName="nma" r:id="rId19">
    <sheetIdMap count="2">
      <sheetId val="1"/>
      <sheetId val="2"/>
    </sheetIdMap>
  </header>
  <header guid="{0A55728B-37EB-47C6-8FA2-BCE538DA5010}" dateTime="2022-09-02T10:46:53" maxSheetId="3" userName="nma" r:id="rId20" minRId="179" maxRId="184">
    <sheetIdMap count="2">
      <sheetId val="1"/>
      <sheetId val="2"/>
    </sheetIdMap>
  </header>
  <header guid="{4DB07B16-7A01-426C-A98F-49B111B66BC3}" dateTime="2022-09-02T10:48:54" maxSheetId="3" userName="nma" r:id="rId21" minRId="190" maxRId="196">
    <sheetIdMap count="2">
      <sheetId val="1"/>
      <sheetId val="2"/>
    </sheetIdMap>
  </header>
  <header guid="{DDDEDB2B-F70D-417B-AD9A-E6795933C70E}" dateTime="2022-09-02T10:53:13" maxSheetId="3" userName="nma" r:id="rId22" minRId="202" maxRId="206">
    <sheetIdMap count="2">
      <sheetId val="1"/>
      <sheetId val="2"/>
    </sheetIdMap>
  </header>
  <header guid="{14E38D6D-A21D-44DD-A242-6900E8E5C0DD}" dateTime="2022-09-02T10:53:55" maxSheetId="3" userName="nma" r:id="rId23">
    <sheetIdMap count="2">
      <sheetId val="1"/>
      <sheetId val="2"/>
    </sheetIdMap>
  </header>
  <header guid="{5E690B45-87C3-4DDC-B077-D52F769815BF}" dateTime="2022-09-02T10:54:24" maxSheetId="3" userName="nma" r:id="rId24" minRId="217">
    <sheetIdMap count="2">
      <sheetId val="1"/>
      <sheetId val="2"/>
    </sheetIdMap>
  </header>
  <header guid="{C6332443-82C1-4802-8886-73249B144EF2}" dateTime="2022-09-02T10:56:44" maxSheetId="3" userName="nma" r:id="rId25" minRId="223" maxRId="238">
    <sheetIdMap count="2">
      <sheetId val="1"/>
      <sheetId val="2"/>
    </sheetIdMap>
  </header>
  <header guid="{0A57F50D-27D9-44CA-B693-6BC3CEE5DB9A}" dateTime="2022-09-02T10:57:11" maxSheetId="3" userName="nma" r:id="rId26">
    <sheetIdMap count="2">
      <sheetId val="1"/>
      <sheetId val="2"/>
    </sheetIdMap>
  </header>
  <header guid="{B33B0906-A3B9-4AA0-82EF-41159CD97EEB}" dateTime="2022-09-02T10:59:03" maxSheetId="3" userName="nma" r:id="rId27" minRId="249" maxRId="254">
    <sheetIdMap count="2">
      <sheetId val="1"/>
      <sheetId val="2"/>
    </sheetIdMap>
  </header>
  <header guid="{A72421DC-87C3-4B16-B4AF-4DC2FA57583D}" dateTime="2022-09-02T11:00:15" maxSheetId="3" userName="nma" r:id="rId28" minRId="260" maxRId="262">
    <sheetIdMap count="2">
      <sheetId val="1"/>
      <sheetId val="2"/>
    </sheetIdMap>
  </header>
  <header guid="{0F407607-4D26-4562-91E3-90EA2D58E506}" dateTime="2022-09-02T11:38:40" maxSheetId="3" userName="nma" r:id="rId29" minRId="268" maxRId="283">
    <sheetIdMap count="2">
      <sheetId val="1"/>
      <sheetId val="2"/>
    </sheetIdMap>
  </header>
  <header guid="{BF11ABE2-AF93-4087-98FF-07AF4C6463DA}" dateTime="2022-09-02T11:38:43" maxSheetId="3" userName="nma" r:id="rId30">
    <sheetIdMap count="2">
      <sheetId val="1"/>
      <sheetId val="2"/>
    </sheetIdMap>
  </header>
  <header guid="{FB9C6A6C-A4DA-4C0E-9C2E-D0D558EF98DD}" dateTime="2022-09-02T11:38:49" maxSheetId="3" userName="nma" r:id="rId31">
    <sheetIdMap count="2">
      <sheetId val="1"/>
      <sheetId val="2"/>
    </sheetIdMap>
  </header>
  <header guid="{01C3020D-22DF-4C7D-9F8F-49C579C8B98B}" dateTime="2022-09-02T11:40:00" maxSheetId="3" userName="nma" r:id="rId32" minRId="299">
    <sheetIdMap count="2">
      <sheetId val="1"/>
      <sheetId val="2"/>
    </sheetIdMap>
  </header>
  <header guid="{71B00690-0042-4CF6-B475-35C60B6C49E9}" dateTime="2022-09-02T11:48:54" maxSheetId="3" userName="nma" r:id="rId33">
    <sheetIdMap count="2">
      <sheetId val="1"/>
      <sheetId val="2"/>
    </sheetIdMap>
  </header>
  <header guid="{BDBEE818-7D9B-4E18-9C91-5962558BC4C0}" dateTime="2022-09-02T11:53:19" maxSheetId="3" userName="nma" r:id="rId34" minRId="310">
    <sheetIdMap count="2">
      <sheetId val="1"/>
      <sheetId val="2"/>
    </sheetIdMap>
  </header>
  <header guid="{8A8862D4-F5B3-4CB5-8967-74AC2291822D}" dateTime="2022-09-02T11:53:35" maxSheetId="3" userName="nma" r:id="rId35">
    <sheetIdMap count="2">
      <sheetId val="1"/>
      <sheetId val="2"/>
    </sheetIdMap>
  </header>
  <header guid="{3148C381-AB11-4355-A929-245294721BA1}" dateTime="2022-09-05T16:49:11" maxSheetId="3" userName="nma" r:id="rId36" minRId="321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321" sId="1" numFmtId="4">
    <oc r="M27">
      <v>282.5</v>
    </oc>
    <nc r="M27"/>
  </rcc>
  <rcv guid="{FE09AB06-1ECE-4486-BCA1-E9D85830708B}" action="delete"/>
  <rdn rId="0" localSheetId="1" customView="1" name="Z_FE09AB06_1ECE_4486_BCA1_E9D85830708B_.wvu.PrintArea" hidden="1" oldHidden="1">
    <formula>Лист1!$A$1:$V$207</formula>
    <oldFormula>Лист1!$A$1:$V$207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Лист1!$E$12:$E$207</formula>
    <oldFormula>Лист1!$E$12:$E$207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c rId="42" sId="1" numFmtId="4">
    <oc r="I18">
      <v>1399.6</v>
    </oc>
    <nc r="I18">
      <v>1710.5</v>
    </nc>
  </rcc>
  <rcc rId="43" sId="1" numFmtId="4">
    <oc r="M18">
      <v>1260.0999999999999</v>
    </oc>
    <nc r="M18">
      <v>1530.5</v>
    </nc>
  </rcc>
  <rcc rId="44" sId="1" numFmtId="4">
    <oc r="M19">
      <v>197.5</v>
    </oc>
    <nc r="M19">
      <v>416</v>
    </nc>
  </rcc>
  <rcc rId="45" sId="1" numFmtId="4">
    <oc r="I20">
      <v>13303.8</v>
    </oc>
    <nc r="I20">
      <v>13409.7</v>
    </nc>
  </rcc>
  <rcc rId="46" sId="1" numFmtId="4">
    <oc r="M20">
      <v>9059.1</v>
    </oc>
    <nc r="M20">
      <v>9776.2000000000007</v>
    </nc>
  </rcc>
  <rcc rId="47" sId="1" numFmtId="4">
    <oc r="M28">
      <v>102.2</v>
    </oc>
    <nc r="M28">
      <v>103.4</v>
    </nc>
  </rcc>
  <rcc rId="48" sId="1" numFmtId="4">
    <oc r="M29">
      <v>52502.400000000001</v>
    </oc>
    <nc r="M29">
      <v>55267.5</v>
    </nc>
  </rcc>
  <rcc rId="49" sId="1" numFmtId="4">
    <oc r="I74">
      <v>3050</v>
    </oc>
    <nc r="I74">
      <v>8550</v>
    </nc>
  </rcc>
  <rcc rId="50" sId="1" numFmtId="4">
    <nc r="M74">
      <v>22</v>
    </nc>
  </rcc>
  <rcc rId="51" sId="1" numFmtId="4">
    <oc r="M76">
      <v>240.3</v>
    </oc>
    <nc r="M76">
      <v>240.5</v>
    </nc>
  </rcc>
  <rcc rId="52" sId="1" numFmtId="4">
    <oc r="I116">
      <v>30537.7</v>
    </oc>
    <nc r="I116">
      <v>29303.1</v>
    </nc>
  </rcc>
  <rcc rId="53" sId="1" numFmtId="4">
    <oc r="M116">
      <v>4937.7</v>
    </oc>
    <nc r="M116">
      <v>6776.7</v>
    </nc>
  </rcc>
  <rcc rId="54" sId="1" numFmtId="4">
    <oc r="M117">
      <v>51418.9</v>
    </oc>
    <nc r="M117">
      <v>54460.9</v>
    </nc>
  </rcc>
  <rcc rId="55" sId="1" numFmtId="4">
    <oc r="M126">
      <v>2189.9</v>
    </oc>
    <nc r="M126">
      <v>2354.8000000000002</v>
    </nc>
  </rcc>
  <rcc rId="56" sId="1" numFmtId="4">
    <oc r="M138">
      <v>363.2</v>
    </oc>
    <nc r="M138">
      <v>374.1</v>
    </nc>
  </rcc>
  <rcc rId="57" sId="1" numFmtId="4">
    <oc r="M146">
      <v>20.2</v>
    </oc>
    <nc r="M146">
      <v>34.200000000000003</v>
    </nc>
  </rcc>
  <rcc rId="58" sId="1" numFmtId="4">
    <oc r="M159">
      <v>3897.3</v>
    </oc>
    <nc r="M159">
      <v>3935.7</v>
    </nc>
  </rcc>
  <rcc rId="59" sId="1" numFmtId="4">
    <oc r="M161">
      <v>492.7</v>
    </oc>
    <nc r="M161">
      <v>551.20000000000005</v>
    </nc>
  </rcc>
  <rcc rId="60" sId="1" numFmtId="4">
    <nc r="X9">
      <v>544717.5</v>
    </nc>
  </rcc>
  <rcc rId="61" sId="1" numFmtId="4">
    <nc r="X10">
      <v>275520.7</v>
    </nc>
  </rcc>
  <rcc rId="62" sId="1">
    <nc r="Y9">
      <f>X9-I8</f>
    </nc>
  </rcc>
  <rcc rId="63" sId="1">
    <nc r="Y10">
      <f>X10-M8</f>
    </nc>
  </rcc>
  <rcc rId="64" sId="1">
    <nc r="X8" t="inlineStr">
      <is>
        <t>местный</t>
      </is>
    </nc>
  </rcc>
  <rcv guid="{FE09AB06-1ECE-4486-BCA1-E9D85830708B}" action="delete"/>
  <rdn rId="0" localSheetId="1" customView="1" name="Z_FE09AB06_1ECE_4486_BCA1_E9D85830708B_.wvu.PrintArea" hidden="1" oldHidden="1">
    <formula>Лист1!$A$1:$V$205</formula>
    <oldFormula>Лист1!$A$1:$V$205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Лист1!$E$12:$E$205</formula>
    <oldFormula>Лист1!$E$12:$E$205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126" sId="1" numFmtId="4">
    <oc r="K108">
      <v>22.8</v>
    </oc>
    <nc r="K108">
      <v>40.9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Лист1!$A$1:$V$207</formula>
    <oldFormula>Лист1!$A$1:$V$207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Лист1!$E$12:$E$207</formula>
    <oldFormula>Лист1!$E$12:$E$207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5.xml><?xml version="1.0" encoding="utf-8"?>
<revisions xmlns="http://schemas.openxmlformats.org/spreadsheetml/2006/main" xmlns:r="http://schemas.openxmlformats.org/officeDocument/2006/relationships">
  <rcc rId="310" sId="1">
    <oc r="B210" t="inlineStr">
      <is>
        <t>Процент исполнения по национальному проекту "Образование" с учетом возмещения за счёт средств федерального бюджета расходов областного бюджета составляет 42,7%, по региональному проекту "Современная школа" - 41,5 %.</t>
      </is>
    </oc>
    <nc r="B210" t="inlineStr">
      <is>
        <t>Процент исполнения по национальному проекту "Образование" с учетом возмещения за счёт средств федерального бюджета расходов областного бюджета составляет 57,4 %, по региональному проекту "Современная школа" - 52,6 %.</t>
      </is>
    </nc>
  </rcc>
  <rcv guid="{FE09AB06-1ECE-4486-BCA1-E9D85830708B}" action="delete"/>
  <rdn rId="0" localSheetId="1" customView="1" name="Z_FE09AB06_1ECE_4486_BCA1_E9D85830708B_.wvu.PrintArea" hidden="1" oldHidden="1">
    <formula>Лист1!$A$1:$V$207</formula>
    <oldFormula>Лист1!$A$1:$V$207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Лист1!$E$12:$E$207</formula>
    <oldFormula>Лист1!$E$12:$E$207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6.xml><?xml version="1.0" encoding="utf-8"?>
<revisions xmlns="http://schemas.openxmlformats.org/spreadsheetml/2006/main" xmlns:r="http://schemas.openxmlformats.org/officeDocument/2006/relationships">
  <rfmt sheetId="1" sqref="B210">
    <dxf>
      <fill>
        <patternFill>
          <bgColor theme="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Лист1!$A$1:$V$207</formula>
    <oldFormula>Лист1!$A$1:$V$207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Лист1!$E$12:$E$207</formula>
    <oldFormula>Лист1!$E$12:$E$207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7.xml><?xml version="1.0" encoding="utf-8"?>
<revisions xmlns="http://schemas.openxmlformats.org/spreadsheetml/2006/main" xmlns:r="http://schemas.openxmlformats.org/officeDocument/2006/relationships">
  <rfmt sheetId="1" sqref="E63">
    <dxf>
      <fill>
        <patternFill>
          <bgColor theme="0"/>
        </patternFill>
      </fill>
    </dxf>
  </rfmt>
  <rfmt sheetId="1" sqref="E117">
    <dxf>
      <fill>
        <patternFill>
          <bgColor theme="0"/>
        </patternFill>
      </fill>
    </dxf>
  </rfmt>
  <rcc rId="299" sId="1">
    <nc r="V162">
      <f>J162/F162</f>
    </nc>
  </rcc>
  <rcv guid="{FE09AB06-1ECE-4486-BCA1-E9D85830708B}" action="delete"/>
  <rdn rId="0" localSheetId="1" customView="1" name="Z_FE09AB06_1ECE_4486_BCA1_E9D85830708B_.wvu.PrintArea" hidden="1" oldHidden="1">
    <formula>Лист1!$A$1:$V$207</formula>
    <oldFormula>Лист1!$A$1:$V$207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Лист1!$E$12:$E$207</formula>
    <oldFormula>Лист1!$E$12:$E$207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8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Лист1!$A$1:$V$207</formula>
    <oldFormula>Лист1!$A$1:$V$207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Лист1!$E$12:$E$207</formula>
    <oldFormula>Лист1!$E$12:$E$207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9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Лист1!$A$1:$V$207</formula>
    <oldFormula>Лист1!$A$1:$V$207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Лист1!$E$12:$E$207</formula>
    <oldFormula>Лист1!$E$12:$E$207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c rId="36" sId="1">
    <nc r="B208" t="inlineStr">
      <is>
        <t>Процент исполнения по национальному проекту "Образование" с учетом возмещения за счёт средств федерального бюджета расходов областного бюджета составляет 42,7%, по региональному проекту "Современная школа" - 41,5 %.</t>
      </is>
    </nc>
  </rcc>
  <rfmt sheetId="1" sqref="B208">
    <dxf>
      <fill>
        <patternFill patternType="solid">
          <bgColor rgb="FFFFFF00"/>
        </patternFill>
      </fill>
    </dxf>
  </rfmt>
  <rcv guid="{FE09AB06-1ECE-4486-BCA1-E9D85830708B}" action="delete"/>
  <rdn rId="0" localSheetId="1" customView="1" name="Z_FE09AB06_1ECE_4486_BCA1_E9D85830708B_.wvu.PrintArea" hidden="1" oldHidden="1">
    <formula>Лист1!$A$1:$V$205</formula>
    <oldFormula>Лист1!$A$1:$V$205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Лист1!$E$12:$E$205</formula>
    <oldFormula>Лист1!$E$12:$E$205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c rId="113" sId="1" numFmtId="4">
    <oc r="G70">
      <f>97078.8-14935.2</f>
    </oc>
    <nc r="G70">
      <v>119031.6</v>
    </nc>
  </rcc>
  <rcc rId="114" sId="1" numFmtId="4">
    <oc r="K72">
      <v>1482.6</v>
    </oc>
    <nc r="K72">
      <v>2704.5</v>
    </nc>
  </rcc>
  <rcc rId="115" sId="1" numFmtId="4">
    <oc r="K74">
      <v>410.2</v>
    </oc>
    <nc r="K74">
      <v>460</v>
    </nc>
  </rcc>
  <rcc rId="116" sId="1" numFmtId="4">
    <oc r="K77">
      <v>7204.6</v>
    </oc>
    <nc r="K77">
      <v>7208.7</v>
    </nc>
  </rcc>
  <rcc rId="117" sId="1" xfDxf="1" dxf="1" numFmtId="4">
    <oc r="G78">
      <v>306886.90000000002</v>
    </oc>
    <nc r="G78">
      <v>269998.90000000002</v>
    </nc>
    <ndxf>
      <font>
        <sz val="14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18" sId="1" numFmtId="4">
    <oc r="K93">
      <v>833.3</v>
    </oc>
    <nc r="K93">
      <v>1301.5</v>
    </nc>
  </rcc>
  <rcc rId="119" sId="1" numFmtId="4">
    <oc r="K92">
      <v>28908.3</v>
    </oc>
    <nc r="K92">
      <v>28972.400000000001</v>
    </nc>
  </rcc>
  <rcc rId="120" sId="1" numFmtId="4">
    <oc r="K100">
      <f>147+379.7+715.9</f>
    </oc>
    <nc r="K100">
      <v>1284.4000000000001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1.xml><?xml version="1.0" encoding="utf-8"?>
<revisions xmlns="http://schemas.openxmlformats.org/spreadsheetml/2006/main" xmlns:r="http://schemas.openxmlformats.org/officeDocument/2006/relationships">
  <rcc rId="190" sId="1" numFmtId="4">
    <oc r="L43">
      <v>25946.1</v>
    </oc>
    <nc r="L43">
      <v>36327.699999999997</v>
    </nc>
  </rcc>
  <rcc rId="191" sId="1" numFmtId="4">
    <oc r="L48">
      <v>368472.8</v>
    </oc>
    <nc r="L48">
      <v>411769.4</v>
    </nc>
  </rcc>
  <rcc rId="192" sId="1" numFmtId="4">
    <oc r="L57">
      <v>25346.7</v>
    </oc>
    <nc r="L57">
      <v>27738.5</v>
    </nc>
  </rcc>
  <rcc rId="193" sId="1" numFmtId="4">
    <oc r="L59">
      <v>15622.1</v>
    </oc>
    <nc r="L59">
      <v>34506.9</v>
    </nc>
  </rcc>
  <rcc rId="194" sId="1" numFmtId="4">
    <oc r="L60">
      <v>627.70000000000005</v>
    </oc>
    <nc r="L60">
      <v>7978.6</v>
    </nc>
  </rcc>
  <rcc rId="195" sId="1" numFmtId="4">
    <oc r="L61">
      <v>13011.1</v>
    </oc>
    <nc r="L61">
      <v>32134.2</v>
    </nc>
  </rcc>
  <rcc rId="196" sId="1" numFmtId="4">
    <oc r="L65">
      <f>28804.2+10777.1</f>
    </oc>
    <nc r="L65">
      <v>88879.8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51.xml><?xml version="1.0" encoding="utf-8"?>
<revisions xmlns="http://schemas.openxmlformats.org/spreadsheetml/2006/main" xmlns:r="http://schemas.openxmlformats.org/officeDocument/2006/relationships">
  <rcc rId="223" sId="1" numFmtId="4">
    <nc r="L116">
      <v>45702.2</v>
    </nc>
  </rcc>
  <rrc rId="224" sId="1" ref="A117:XFD117" action="insertRow"/>
  <rcc rId="225" sId="1">
    <nc r="C117" t="inlineStr">
      <is>
        <t>821</t>
      </is>
    </nc>
  </rcc>
  <rcc rId="226" sId="1">
    <nc r="D117" t="inlineStr">
      <is>
        <t>Департамент архитектуры и строительства Томской области</t>
      </is>
    </nc>
  </rcc>
  <rcc rId="227" sId="1" xfDxf="1" dxf="1">
    <nc r="E117" t="inlineStr">
      <is>
        <t>13WF25424F</t>
      </is>
    </nc>
    <ndxf>
      <font>
        <sz val="13"/>
        <name val="PT Astra Serif"/>
        <scheme val="none"/>
      </font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8" sId="1">
    <nc r="F117">
      <f>G117+H117+I117</f>
    </nc>
  </rcc>
  <rcc rId="229" sId="1">
    <nc r="J117">
      <f>K117+L117+M117</f>
    </nc>
  </rcc>
  <rcc rId="230" sId="1">
    <nc r="N117">
      <f>O117+P117+Q117</f>
    </nc>
  </rcc>
  <rcc rId="231" sId="1">
    <nc r="R117">
      <f>S117+T117+U117</f>
    </nc>
  </rcc>
  <rcc rId="232" sId="1">
    <nc r="V117">
      <f>J117/F117</f>
    </nc>
  </rcc>
  <rcc rId="233" sId="1" numFmtId="4">
    <nc r="H117">
      <v>70026</v>
    </nc>
  </rcc>
  <rcc rId="234" sId="1" numFmtId="4">
    <oc r="L118">
      <v>79868.7</v>
    </oc>
    <nc r="L118">
      <v>118877.4</v>
    </nc>
  </rcc>
  <rcc rId="235" sId="1" numFmtId="4">
    <oc r="L122">
      <v>129644.9</v>
    </oc>
    <nc r="L122">
      <v>170082.2</v>
    </nc>
  </rcc>
  <rcc rId="236" sId="1" numFmtId="4">
    <oc r="H122">
      <f>550389.8+712705.5+23500.6+880449.5</f>
    </oc>
    <nc r="H122">
      <v>2462120.2999999998</v>
    </nc>
  </rcc>
  <rcc rId="237" sId="1" numFmtId="4">
    <oc r="L128">
      <v>77859.5</v>
    </oc>
    <nc r="L128">
      <v>101154.4</v>
    </nc>
  </rcc>
  <rcc rId="238" sId="1" xfDxf="1" dxf="1">
    <nc r="B117" t="inlineStr">
      <is>
    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 за счет средств резервного фонда Правительства Российской Федерации</t>
      </is>
    </nc>
    <ndxf>
      <font>
        <i/>
        <sz val="13"/>
        <name val="PT Astra Serif"/>
        <scheme val="none"/>
      </font>
      <fill>
        <patternFill patternType="solid">
          <bgColor theme="0"/>
        </patternFill>
      </fill>
      <alignment horizontal="lef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v guid="{FE09AB06-1ECE-4486-BCA1-E9D85830708B}" action="delete"/>
  <rdn rId="0" localSheetId="1" customView="1" name="Z_FE09AB06_1ECE_4486_BCA1_E9D85830708B_.wvu.PrintArea" hidden="1" oldHidden="1">
    <formula>Лист1!$A$1:$V$207</formula>
    <oldFormula>Лист1!$A$1:$V$207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Лист1!$E$12:$E$207</formula>
    <oldFormula>Лист1!$E$12:$E$207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61.xml><?xml version="1.0" encoding="utf-8"?>
<revisions xmlns="http://schemas.openxmlformats.org/spreadsheetml/2006/main" xmlns:r="http://schemas.openxmlformats.org/officeDocument/2006/relationships">
  <rcc rId="268" sId="1" numFmtId="4">
    <oc r="L161">
      <v>5891.9</v>
    </oc>
    <nc r="L161">
      <v>7666.7</v>
    </nc>
  </rcc>
  <rcc rId="269" sId="1" numFmtId="4">
    <oc r="L164">
      <v>1205</v>
    </oc>
    <nc r="L164">
      <v>4441.7</v>
    </nc>
  </rcc>
  <rcc rId="270" sId="1" numFmtId="4">
    <oc r="L24">
      <v>17721</v>
    </oc>
    <nc r="L24">
      <v>17721.099999999999</v>
    </nc>
  </rcc>
  <rcc rId="271" sId="1" numFmtId="4">
    <oc r="L163">
      <v>8143.8</v>
    </oc>
    <nc r="L163">
      <v>9111.7999999999993</v>
    </nc>
  </rcc>
  <rcc rId="272" sId="1">
    <oc r="T122">
      <f>1426547-614256.9</f>
    </oc>
    <nc r="T122"/>
  </rcc>
  <rcc rId="273" sId="1">
    <oc r="P122">
      <f>1376608.2-266192.6</f>
    </oc>
    <nc r="P122">
      <f>1376608.2-266192.6+517215.21</f>
    </nc>
  </rcc>
  <rcc rId="274" sId="1" numFmtId="4">
    <oc r="G74">
      <v>476.99</v>
    </oc>
    <nc r="G74">
      <v>477</v>
    </nc>
  </rcc>
  <rcc rId="275" sId="1" numFmtId="4">
    <oc r="G100">
      <v>1866.28</v>
    </oc>
    <nc r="G100">
      <v>1866.3</v>
    </nc>
  </rcc>
  <rcc rId="276" sId="1" numFmtId="4">
    <oc r="G72">
      <v>5426.66</v>
    </oc>
    <nc r="G72">
      <v>5426.6</v>
    </nc>
  </rcc>
  <rcc rId="277" sId="1">
    <oc r="P113">
      <f>P114+P119+P124</f>
    </oc>
    <nc r="P113">
      <f>P114+P119+P124</f>
    </nc>
  </rcc>
  <rcc rId="278" sId="1" numFmtId="4">
    <oc r="O148">
      <f>2766901.5-120777.55-50949.4</f>
    </oc>
    <nc r="O148">
      <v>3277436.6</v>
    </nc>
  </rcc>
  <rcc rId="279" sId="1">
    <oc r="X8" t="inlineStr">
      <is>
        <t>местный</t>
      </is>
    </oc>
    <nc r="X8"/>
  </rcc>
  <rcc rId="280" sId="1" numFmtId="4">
    <oc r="X9">
      <v>544717.5</v>
    </oc>
    <nc r="X9"/>
  </rcc>
  <rcc rId="281" sId="1">
    <oc r="Y9">
      <f>X9-I8</f>
    </oc>
    <nc r="Y9"/>
  </rcc>
  <rcc rId="282" sId="1" numFmtId="4">
    <oc r="X10">
      <v>275520.7</v>
    </oc>
    <nc r="X10"/>
  </rcc>
  <rcc rId="283" sId="1">
    <oc r="Y10">
      <f>X10-M8</f>
    </oc>
    <nc r="Y10"/>
  </rcc>
  <rcv guid="{FE09AB06-1ECE-4486-BCA1-E9D85830708B}" action="delete"/>
  <rdn rId="0" localSheetId="1" customView="1" name="Z_FE09AB06_1ECE_4486_BCA1_E9D85830708B_.wvu.PrintArea" hidden="1" oldHidden="1">
    <formula>Лист1!$A$1:$V$207</formula>
    <oldFormula>Лист1!$A$1:$V$207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Лист1!$E$12:$E$207</formula>
    <oldFormula>Лист1!$E$12:$E$207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71.xml><?xml version="1.0" encoding="utf-8"?>
<revisions xmlns="http://schemas.openxmlformats.org/spreadsheetml/2006/main" xmlns:r="http://schemas.openxmlformats.org/officeDocument/2006/relationships">
  <rcc rId="260" sId="1" numFmtId="4">
    <oc r="L144">
      <v>500010.1</v>
    </oc>
    <nc r="L144">
      <v>603754.19999999995</v>
    </nc>
  </rcc>
  <rcc rId="261" sId="1" numFmtId="4">
    <oc r="L148">
      <v>293883.40000000002</v>
    </oc>
    <nc r="L148">
      <v>458822.7</v>
    </nc>
  </rcc>
  <rcc rId="262" sId="1" numFmtId="4">
    <oc r="L145">
      <v>55167.4</v>
    </oc>
    <nc r="L145">
      <v>226073.2</v>
    </nc>
  </rcc>
  <rcv guid="{FE09AB06-1ECE-4486-BCA1-E9D85830708B}" action="delete"/>
  <rdn rId="0" localSheetId="1" customView="1" name="Z_FE09AB06_1ECE_4486_BCA1_E9D85830708B_.wvu.PrintArea" hidden="1" oldHidden="1">
    <formula>Лист1!$A$1:$V$207</formula>
    <oldFormula>Лист1!$A$1:$V$207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Лист1!$E$12:$E$207</formula>
    <oldFormula>Лист1!$E$12:$E$207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8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Лист1!$A$1:$V$207</formula>
    <oldFormula>Лист1!$A$1:$V$207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Лист1!$E$12:$E$207</formula>
    <oldFormula>Лист1!$E$12:$E$207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c rId="30" sId="1">
    <oc r="B208" t="inlineStr">
      <is>
        <t>Процент исполнения по национальному проекту "Образование" с учетом возмещения за счёт средств федерального бюджета расходов областного бюджета составляет 42,7%, по региональному проекту "Современная школа" - 41,5 %.</t>
      </is>
    </oc>
    <nc r="B208"/>
  </rcc>
  <rcv guid="{FE09AB06-1ECE-4486-BCA1-E9D85830708B}" action="delete"/>
  <rdn rId="0" localSheetId="1" customView="1" name="Z_FE09AB06_1ECE_4486_BCA1_E9D85830708B_.wvu.PrintArea" hidden="1" oldHidden="1">
    <formula>Лист1!$A$1:$V$205</formula>
    <oldFormula>Лист1!$A$1:$V$205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Лист1!$E$12:$E$205</formula>
    <oldFormula>Лист1!$E$12:$E$205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11.xml><?xml version="1.0" encoding="utf-8"?>
<revisions xmlns="http://schemas.openxmlformats.org/spreadsheetml/2006/main" xmlns:r="http://schemas.openxmlformats.org/officeDocument/2006/relationships">
  <rcc rId="163" sId="1" numFmtId="4">
    <oc r="K198">
      <v>10890.8</v>
    </oc>
    <nc r="K198">
      <v>11692.3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511.xml><?xml version="1.0" encoding="utf-8"?>
<revisions xmlns="http://schemas.openxmlformats.org/spreadsheetml/2006/main" xmlns:r="http://schemas.openxmlformats.org/officeDocument/2006/relationships">
  <rcc rId="179" sId="1" numFmtId="4">
    <nc r="M27">
      <v>282.5</v>
    </nc>
  </rcc>
  <rcc rId="180" sId="1" numFmtId="4">
    <oc r="L28">
      <v>99173</v>
    </oc>
    <nc r="L28">
      <v>100193.60000000001</v>
    </nc>
  </rcc>
  <rcc rId="181" sId="1" numFmtId="4">
    <oc r="L33">
      <v>262179.7</v>
    </oc>
    <nc r="L33">
      <v>305529.09999999998</v>
    </nc>
  </rcc>
  <rcc rId="182" sId="1" numFmtId="4">
    <oc r="L27">
      <v>410.5</v>
    </oc>
    <nc r="L27">
      <v>282.5</v>
    </nc>
  </rcc>
  <rcc rId="183" sId="1" numFmtId="4">
    <oc r="L34">
      <v>686744.3</v>
    </oc>
    <nc r="L34">
      <v>791071.3</v>
    </nc>
  </rcc>
  <rcc rId="184" sId="1" numFmtId="4">
    <oc r="L24">
      <v>15875</v>
    </oc>
    <nc r="L24">
      <v>17721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611.xml><?xml version="1.0" encoding="utf-8"?>
<revisions xmlns="http://schemas.openxmlformats.org/spreadsheetml/2006/main" xmlns:r="http://schemas.openxmlformats.org/officeDocument/2006/relationships">
  <rcc rId="217" sId="1" numFmtId="4">
    <oc r="L108">
      <v>2253.5</v>
    </oc>
    <nc r="L108">
      <v>4053.4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711.xml><?xml version="1.0" encoding="utf-8"?>
<revisions xmlns="http://schemas.openxmlformats.org/spreadsheetml/2006/main" xmlns:r="http://schemas.openxmlformats.org/officeDocument/2006/relationships">
  <rfmt sheetId="1" sqref="E117">
    <dxf>
      <fill>
        <patternFill>
          <bgColor rgb="FFFFFF00"/>
        </patternFill>
      </fill>
    </dxf>
  </rfmt>
  <rfmt sheetId="1" sqref="E63">
    <dxf>
      <fill>
        <patternFill>
          <bgColor rgb="FFFFFF00"/>
        </patternFill>
      </fill>
    </dxf>
  </rfmt>
  <rcc rId="249" sId="1" numFmtId="4">
    <nc r="L137">
      <v>587</v>
    </nc>
  </rcc>
  <rcc rId="250" sId="1" numFmtId="4">
    <oc r="L132">
      <v>3765.1</v>
    </oc>
    <nc r="L132">
      <v>4275.3999999999996</v>
    </nc>
  </rcc>
  <rcc rId="251" sId="1" numFmtId="4">
    <nc r="L133">
      <v>1130.4000000000001</v>
    </nc>
  </rcc>
  <rcc rId="252" sId="1">
    <oc r="L135">
      <f>+L137</f>
    </oc>
    <nc r="L135">
      <f>L137</f>
    </nc>
  </rcc>
  <rcc rId="253" sId="1">
    <oc r="L138">
      <f>L140</f>
    </oc>
    <nc r="L138">
      <f>L140</f>
    </nc>
  </rcc>
  <rcc rId="254" sId="1" numFmtId="4">
    <oc r="L140">
      <v>7290.8</v>
    </oc>
    <nc r="L140">
      <v>7509.7</v>
    </nc>
  </rcc>
  <rcv guid="{FE09AB06-1ECE-4486-BCA1-E9D85830708B}" action="delete"/>
  <rdn rId="0" localSheetId="1" customView="1" name="Z_FE09AB06_1ECE_4486_BCA1_E9D85830708B_.wvu.PrintArea" hidden="1" oldHidden="1">
    <formula>Лист1!$A$1:$V$207</formula>
    <oldFormula>Лист1!$A$1:$V$207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Лист1!$E$12:$E$207</formula>
    <oldFormula>Лист1!$E$12:$E$207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2111.xml><?xml version="1.0" encoding="utf-8"?>
<revisions xmlns="http://schemas.openxmlformats.org/spreadsheetml/2006/main" xmlns:r="http://schemas.openxmlformats.org/officeDocument/2006/relationships">
  <rcc rId="24" sId="1">
    <oc r="A1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01.08.2022</t>
      </is>
    </oc>
    <nc r="A1" t="inlineStr">
      <is>
    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01.09.2022</t>
      </is>
    </nc>
  </rcc>
  <rcv guid="{FE09AB06-1ECE-4486-BCA1-E9D85830708B}" action="delete"/>
  <rdn rId="0" localSheetId="1" customView="1" name="Z_FE09AB06_1ECE_4486_BCA1_E9D85830708B_.wvu.PrintArea" hidden="1" oldHidden="1">
    <formula>Лист1!$A$1:$V$205</formula>
    <oldFormula>Лист1!$A$1:$V$205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Лист1!$E$12:$E$205</formula>
    <oldFormula>Лист1!$E$12:$E$205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c rId="82" sId="1" numFmtId="4">
    <oc r="K40">
      <v>45000</v>
    </oc>
    <nc r="K40">
      <v>90000</v>
    </nc>
  </rcc>
  <rcc rId="83" sId="1" numFmtId="4">
    <oc r="K48">
      <v>96010.5</v>
    </oc>
    <nc r="K48">
      <v>107292</v>
    </nc>
  </rcc>
  <rcc rId="84" sId="1" numFmtId="4">
    <oc r="K51">
      <v>2363.1</v>
    </oc>
    <nc r="K51">
      <v>3678.8</v>
    </nc>
  </rcc>
  <rcc rId="85" sId="1" numFmtId="4">
    <oc r="K59">
      <v>689.5</v>
    </oc>
    <nc r="K59">
      <v>1523.1</v>
    </nc>
  </rcc>
  <rcc rId="86" sId="1" numFmtId="4">
    <oc r="G60">
      <f>5218.1+2272.4</f>
    </oc>
    <nc r="G60">
      <v>8517.7999999999993</v>
    </nc>
  </rcc>
  <rcc rId="87" sId="1" numFmtId="4">
    <oc r="K60">
      <v>27.7</v>
    </oc>
    <nc r="K60">
      <v>352.2</v>
    </nc>
  </rcc>
  <rcc rId="88" sId="1" numFmtId="4">
    <oc r="G61">
      <f>5888.5+717</f>
    </oc>
    <nc r="G61">
      <v>8106.2</v>
    </nc>
  </rcc>
  <rcc rId="89" sId="1" numFmtId="4">
    <oc r="K61">
      <v>574.29999999999995</v>
    </oc>
    <nc r="K61">
      <v>1418.4</v>
    </nc>
  </rcc>
  <rcc rId="90" sId="1" numFmtId="4">
    <oc r="K64">
      <f>617.7+653.7+475.7</f>
    </oc>
    <nc r="K64">
      <v>3923.1</v>
    </nc>
  </rcc>
  <rrc rId="91" sId="1" ref="A63:XFD63" action="insertRow"/>
  <rcc rId="92" sId="1" xfDxf="1" dxf="1">
    <nc r="E63" t="inlineStr">
      <is>
        <t>07WN953656</t>
      </is>
    </nc>
    <ndxf>
      <font>
        <sz val="13"/>
        <name val="PT Astra Serif"/>
        <scheme val="none"/>
      </font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3" sId="1" xfDxf="1" dxf="1">
    <nc r="B63" t="inlineStr">
      <is>
        <t>Реализация региональных проектов модернизации первичного звена здравоохранения (авторский надзор при строительстве объектов капитального строительства медицинских организаций)</t>
      </is>
    </nc>
    <ndxf>
      <font>
        <i/>
        <sz val="13"/>
        <name val="PT Astra Serif"/>
        <scheme val="none"/>
      </font>
      <fill>
        <patternFill patternType="solid">
          <bgColor theme="0"/>
        </patternFill>
      </fill>
      <alignment horizontal="left" vertical="center" wrapText="1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94" sId="1">
    <nc r="F63">
      <f>G63+H63+I63</f>
    </nc>
  </rcc>
  <rcc rId="95" sId="1">
    <nc r="J63">
      <f>K63+L63+M63</f>
    </nc>
  </rcc>
  <rcc rId="96" sId="1">
    <nc r="N63">
      <f>O63+P63+Q63</f>
    </nc>
  </rcc>
  <rcc rId="97" sId="1">
    <nc r="R63">
      <f>S63+T63+U63</f>
    </nc>
  </rcc>
  <rcc rId="98" sId="1">
    <nc r="V63">
      <f>J63/F63</f>
    </nc>
  </rcc>
  <rcc rId="99" sId="1" numFmtId="4">
    <nc r="G63">
      <v>670.75</v>
    </nc>
  </rcc>
  <rcc rId="100" sId="1">
    <nc r="C63" t="inlineStr">
      <is>
        <t>821</t>
      </is>
    </nc>
  </rcc>
  <rcc rId="101" sId="1">
    <nc r="D63" t="inlineStr">
      <is>
        <t>Департамент архитектуры и строительства Томской области</t>
      </is>
    </nc>
  </rcc>
  <rcc rId="102" sId="1" numFmtId="4">
    <oc r="K57">
      <v>1118.8</v>
    </oc>
    <nc r="K57">
      <v>1224.3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111.xml><?xml version="1.0" encoding="utf-8"?>
<revisions xmlns="http://schemas.openxmlformats.org/spreadsheetml/2006/main" xmlns:r="http://schemas.openxmlformats.org/officeDocument/2006/relationships">
  <rcc rId="155" sId="1" numFmtId="4">
    <oc r="K162">
      <v>1216.9000000000001</v>
    </oc>
    <nc r="K162">
      <v>1361.5</v>
    </nc>
  </rcc>
  <rcc rId="156" sId="1" numFmtId="4">
    <oc r="K163">
      <v>180.1</v>
    </oc>
    <nc r="K163">
      <v>663.7</v>
    </nc>
  </rcc>
  <rcc rId="157" sId="1" numFmtId="4">
    <oc r="K168">
      <v>65</v>
    </oc>
    <nc r="K168">
      <v>512.6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51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6111.xml><?xml version="1.0" encoding="utf-8"?>
<revisions xmlns="http://schemas.openxmlformats.org/spreadsheetml/2006/main" xmlns:r="http://schemas.openxmlformats.org/officeDocument/2006/relationships"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cc rId="18" sId="1" numFmtId="4">
    <oc r="M116">
      <v>5675.7</v>
    </oc>
    <nc r="M116">
      <v>4937.7</v>
    </nc>
  </rcc>
  <rcv guid="{FE09AB06-1ECE-4486-BCA1-E9D85830708B}" action="delete"/>
  <rdn rId="0" localSheetId="1" customView="1" name="Z_FE09AB06_1ECE_4486_BCA1_E9D85830708B_.wvu.PrintArea" hidden="1" oldHidden="1">
    <formula>Лист1!$A$1:$V$205</formula>
    <oldFormula>Лист1!$A$1:$V$205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Лист1!$E$12:$E$205</formula>
    <oldFormula>Лист1!$E$12:$E$205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c rId="70" sId="1" numFmtId="4">
    <oc r="K27">
      <v>12.7</v>
    </oc>
    <nc r="K27">
      <v>8.6999999999999993</v>
    </nc>
  </rcc>
  <rcc rId="71" sId="1" numFmtId="4">
    <oc r="K20">
      <v>49936.6</v>
    </oc>
    <nc r="K20">
      <v>56406.400000000001</v>
    </nc>
  </rcc>
  <rcc rId="72" sId="1" numFmtId="4">
    <oc r="K24">
      <v>491</v>
    </oc>
    <nc r="K24">
      <v>548.1</v>
    </nc>
  </rcc>
  <rcc rId="73" sId="1" numFmtId="4">
    <oc r="K28">
      <v>3067.2</v>
    </oc>
    <nc r="K28">
      <v>3098.8</v>
    </nc>
  </rcc>
  <rcc rId="74" sId="1" numFmtId="4">
    <oc r="K29">
      <v>95623.5</v>
    </oc>
    <nc r="K29">
      <v>123162.9</v>
    </nc>
  </rcc>
  <rcc rId="75" sId="1" numFmtId="4">
    <oc r="K35">
      <v>95288.2</v>
    </oc>
    <nc r="K35">
      <v>102470.1</v>
    </nc>
  </rcc>
  <rcc rId="76" sId="1" numFmtId="4">
    <oc r="K33">
      <v>39176.300000000003</v>
    </oc>
    <nc r="K33">
      <v>45653.8</v>
    </nc>
  </rcc>
  <rcv guid="{FE09AB06-1ECE-4486-BCA1-E9D85830708B}" action="delete"/>
  <rdn rId="0" localSheetId="1" customView="1" name="Z_FE09AB06_1ECE_4486_BCA1_E9D85830708B_.wvu.PrintArea" hidden="1" oldHidden="1">
    <formula>Лист1!$A$1:$V$205</formula>
    <oldFormula>Лист1!$A$1:$V$205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Лист1!$E$12:$E$205</formula>
    <oldFormula>Лист1!$E$12:$E$205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1111.xml><?xml version="1.0" encoding="utf-8"?>
<revisions xmlns="http://schemas.openxmlformats.org/spreadsheetml/2006/main" xmlns:r="http://schemas.openxmlformats.org/officeDocument/2006/relationships">
  <rcc rId="143" sId="1" numFmtId="4">
    <oc r="K139">
      <v>1089.4000000000001</v>
    </oc>
    <nc r="K139">
      <v>1122.0999999999999</v>
    </nc>
  </rcc>
  <rcc rId="144" sId="1" numFmtId="4">
    <oc r="K147">
      <v>737145.5</v>
    </oc>
    <nc r="K147">
      <v>846111.4</v>
    </nc>
  </rcc>
  <rcc rId="145" sId="1" numFmtId="4">
    <oc r="G150">
      <f>53750+48598.7-15423.7</f>
    </oc>
    <nc r="G150">
      <v>78980.2</v>
    </nc>
  </rcc>
  <rcc rId="146" sId="1" numFmtId="4">
    <nc r="K155">
      <v>69.599999999999994</v>
    </nc>
  </rcc>
  <rcc rId="147" sId="1" numFmtId="4">
    <oc r="K154">
      <v>800.7</v>
    </oc>
    <nc r="K154">
      <v>2267</v>
    </nc>
  </rcc>
  <rcc rId="148" sId="1" xfDxf="1" dxf="1" numFmtId="4">
    <oc r="G156">
      <v>172148.2</v>
    </oc>
    <nc r="G156">
      <v>224562.5</v>
    </nc>
    <ndxf>
      <font>
        <sz val="14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49" sId="1" xfDxf="1" dxf="1" numFmtId="4">
    <oc r="G147">
      <v>2896836.5</v>
    </oc>
    <nc r="G147">
      <v>2852366.9</v>
    </nc>
    <ndxf>
      <font>
        <sz val="14"/>
        <name val="PT Astra Serif"/>
        <scheme val="none"/>
      </font>
      <numFmt numFmtId="164" formatCode="#,##0.0"/>
      <fill>
        <patternFill patternType="solid">
          <bgColor theme="0"/>
        </patternFill>
      </fill>
      <alignment horizontal="center" vertical="center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61111.xml><?xml version="1.0" encoding="utf-8"?>
<revisions xmlns="http://schemas.openxmlformats.org/spreadsheetml/2006/main" xmlns:r="http://schemas.openxmlformats.org/officeDocument/2006/relationships">
  <rcc rId="202" sId="1" numFmtId="4">
    <oc r="L74">
      <v>13263.3</v>
    </oc>
    <nc r="L74">
      <v>14873.4</v>
    </nc>
  </rcc>
  <rcc rId="203" sId="1" numFmtId="4">
    <oc r="L77">
      <v>232947</v>
    </oc>
    <nc r="L77">
      <v>233079.2</v>
    </nc>
  </rcc>
  <rcc rId="204" sId="1" numFmtId="4">
    <oc r="L93">
      <v>26943.5</v>
    </oc>
    <nc r="L93">
      <v>42080.800000000003</v>
    </nc>
  </rcc>
  <rcc rId="205" sId="1" numFmtId="4">
    <oc r="L100">
      <f>17032.1+23145.3</f>
    </oc>
    <nc r="L100">
      <v>41527.9</v>
    </nc>
  </rcc>
  <rcc rId="206" sId="1" numFmtId="4">
    <oc r="L72">
      <v>15534.3</v>
    </oc>
    <nc r="L72">
      <v>24510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revisionLog1411111.xml><?xml version="1.0" encoding="utf-8"?>
<revisions xmlns="http://schemas.openxmlformats.org/spreadsheetml/2006/main" xmlns:r="http://schemas.openxmlformats.org/officeDocument/2006/relationships">
  <rcc rId="132" sId="1" numFmtId="4">
    <oc r="K117">
      <v>2470.1999999999998</v>
    </oc>
    <nc r="K117">
      <v>3676.6</v>
    </nc>
  </rcc>
  <rcc rId="133" sId="1" numFmtId="4">
    <oc r="G122">
      <f>491052.5+87066.68-172326.5</f>
    </oc>
    <nc r="G122">
      <v>442743.3</v>
    </nc>
  </rcc>
  <rcc rId="134" sId="1" numFmtId="4">
    <oc r="G127">
      <v>4910</v>
    </oc>
    <nc r="G127">
      <v>6560</v>
    </nc>
  </rcc>
  <rcc rId="135" sId="1" numFmtId="4">
    <oc r="K127">
      <v>1887.4</v>
    </oc>
    <nc r="K127">
      <v>2452.6</v>
    </nc>
  </rcc>
  <rcc rId="136" sId="1" numFmtId="4">
    <oc r="G120">
      <v>44760</v>
    </oc>
    <nc r="G120">
      <v>0</v>
    </nc>
  </rcc>
  <rcc rId="137" sId="1" numFmtId="4">
    <oc r="K122">
      <v>62224.6</v>
    </oc>
    <nc r="K122">
      <v>60655.5</v>
    </nc>
  </rcc>
  <rcv guid="{FE09AB06-1ECE-4486-BCA1-E9D85830708B}" action="delete"/>
  <rdn rId="0" localSheetId="1" customView="1" name="Z_FE09AB06_1ECE_4486_BCA1_E9D85830708B_.wvu.PrintArea" hidden="1" oldHidden="1">
    <formula>Лист1!$A$1:$V$206</formula>
    <oldFormula>Лист1!$A$1:$V$206</oldFormula>
  </rdn>
  <rdn rId="0" localSheetId="1" customView="1" name="Z_FE09AB06_1ECE_4486_BCA1_E9D85830708B_.wvu.PrintTitles" hidden="1" oldHidden="1">
    <formula>Лист1!$4:$7</formula>
    <oldFormula>Лист1!$4:$7</oldFormula>
  </rdn>
  <rdn rId="0" localSheetId="1" customView="1" name="Z_FE09AB06_1ECE_4486_BCA1_E9D85830708B_.wvu.FilterData" hidden="1" oldHidden="1">
    <formula>Лист1!$E$12:$E$206</formula>
    <oldFormula>Лист1!$E$12:$E$206</oldFormula>
  </rdn>
  <rdn rId="0" localSheetId="2" customView="1" name="Z_FE09AB06_1ECE_4486_BCA1_E9D85830708B_.wvu.PrintArea" hidden="1" oldHidden="1">
    <formula>Лист2!$A$1:$O$19</formula>
    <oldFormula>Лист2!$A$1:$O$19</oldFormula>
  </rdn>
  <rdn rId="0" localSheetId="2" customView="1" name="Z_FE09AB06_1ECE_4486_BCA1_E9D85830708B_.wvu.Cols" hidden="1" oldHidden="1">
    <formula>Лист2!$F:$G</formula>
    <oldFormula>Лист2!$F:$G</oldFormula>
  </rdn>
  <rcv guid="{FE09AB06-1ECE-4486-BCA1-E9D85830708B}" action="add"/>
</revisions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45"/>
  <sheetViews>
    <sheetView tabSelected="1" zoomScale="60" zoomScaleNormal="6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J15" sqref="J15"/>
    </sheetView>
  </sheetViews>
  <sheetFormatPr defaultColWidth="8.85546875" defaultRowHeight="15"/>
  <cols>
    <col min="1" max="1" width="6.42578125" style="4" customWidth="1"/>
    <col min="2" max="2" width="56.42578125" style="5" customWidth="1"/>
    <col min="3" max="3" width="7.7109375" style="4" customWidth="1"/>
    <col min="4" max="4" width="38.7109375" style="4" customWidth="1"/>
    <col min="5" max="5" width="17.42578125" style="4" customWidth="1"/>
    <col min="6" max="6" width="17.5703125" style="4" customWidth="1"/>
    <col min="7" max="7" width="15.85546875" style="8" customWidth="1"/>
    <col min="8" max="8" width="17" style="8" customWidth="1"/>
    <col min="9" max="9" width="14.140625" style="8" customWidth="1"/>
    <col min="10" max="10" width="15.42578125" style="8" customWidth="1"/>
    <col min="11" max="12" width="15.85546875" style="8" customWidth="1"/>
    <col min="13" max="13" width="13.85546875" style="8" customWidth="1"/>
    <col min="14" max="14" width="16.85546875" style="4" customWidth="1"/>
    <col min="15" max="15" width="15.85546875" style="8" customWidth="1"/>
    <col min="16" max="16" width="16.85546875" style="8" customWidth="1"/>
    <col min="17" max="17" width="14.140625" style="8" customWidth="1"/>
    <col min="18" max="18" width="16.7109375" style="4" customWidth="1"/>
    <col min="19" max="19" width="16.42578125" style="8" customWidth="1"/>
    <col min="20" max="20" width="16.5703125" style="8" customWidth="1"/>
    <col min="21" max="21" width="13.42578125" style="8" customWidth="1"/>
    <col min="22" max="22" width="10.28515625" style="4" customWidth="1"/>
    <col min="23" max="23" width="8.85546875" style="3"/>
    <col min="24" max="24" width="19" style="3" customWidth="1"/>
    <col min="25" max="25" width="18.7109375" style="3" customWidth="1"/>
    <col min="26" max="26" width="23.42578125" style="3" bestFit="1" customWidth="1"/>
    <col min="27" max="27" width="18.28515625" style="3" bestFit="1" customWidth="1"/>
    <col min="28" max="101" width="8.85546875" style="3"/>
    <col min="102" max="16384" width="8.85546875" style="4"/>
  </cols>
  <sheetData>
    <row r="1" spans="1:27" ht="15" customHeight="1">
      <c r="A1" s="106" t="s">
        <v>369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</row>
    <row r="2" spans="1:27" ht="37.5" customHeight="1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</row>
    <row r="3" spans="1:27">
      <c r="E3" s="6"/>
      <c r="G3" s="7"/>
      <c r="K3" s="7"/>
      <c r="T3" s="1"/>
      <c r="U3" s="1" t="s">
        <v>197</v>
      </c>
    </row>
    <row r="4" spans="1:27" ht="16.5" customHeight="1">
      <c r="A4" s="107" t="s">
        <v>0</v>
      </c>
      <c r="B4" s="110" t="s">
        <v>1</v>
      </c>
      <c r="C4" s="107" t="s">
        <v>2</v>
      </c>
      <c r="D4" s="107" t="s">
        <v>3</v>
      </c>
      <c r="E4" s="107" t="s">
        <v>4</v>
      </c>
      <c r="F4" s="118" t="s">
        <v>195</v>
      </c>
      <c r="G4" s="119"/>
      <c r="H4" s="119"/>
      <c r="I4" s="120"/>
      <c r="J4" s="118" t="s">
        <v>195</v>
      </c>
      <c r="K4" s="119"/>
      <c r="L4" s="119"/>
      <c r="M4" s="120"/>
      <c r="N4" s="118" t="s">
        <v>196</v>
      </c>
      <c r="O4" s="119"/>
      <c r="P4" s="119"/>
      <c r="Q4" s="120"/>
      <c r="R4" s="121" t="s">
        <v>254</v>
      </c>
      <c r="S4" s="121"/>
      <c r="T4" s="121"/>
      <c r="U4" s="121"/>
      <c r="V4" s="123" t="s">
        <v>234</v>
      </c>
    </row>
    <row r="5" spans="1:27" ht="16.5" customHeight="1">
      <c r="A5" s="108"/>
      <c r="B5" s="111"/>
      <c r="C5" s="108"/>
      <c r="D5" s="108"/>
      <c r="E5" s="113"/>
      <c r="F5" s="115" t="s">
        <v>232</v>
      </c>
      <c r="G5" s="116"/>
      <c r="H5" s="116"/>
      <c r="I5" s="117"/>
      <c r="J5" s="115" t="s">
        <v>5</v>
      </c>
      <c r="K5" s="116"/>
      <c r="L5" s="116"/>
      <c r="M5" s="117"/>
      <c r="N5" s="115" t="s">
        <v>232</v>
      </c>
      <c r="O5" s="116"/>
      <c r="P5" s="116"/>
      <c r="Q5" s="117"/>
      <c r="R5" s="122" t="s">
        <v>232</v>
      </c>
      <c r="S5" s="122"/>
      <c r="T5" s="122"/>
      <c r="U5" s="122"/>
      <c r="V5" s="124"/>
    </row>
    <row r="6" spans="1:27" ht="82.5">
      <c r="A6" s="109"/>
      <c r="B6" s="112"/>
      <c r="C6" s="109"/>
      <c r="D6" s="109"/>
      <c r="E6" s="114"/>
      <c r="F6" s="9" t="s">
        <v>6</v>
      </c>
      <c r="G6" s="10" t="s">
        <v>7</v>
      </c>
      <c r="H6" s="10" t="s">
        <v>8</v>
      </c>
      <c r="I6" s="10" t="s">
        <v>233</v>
      </c>
      <c r="J6" s="9" t="s">
        <v>6</v>
      </c>
      <c r="K6" s="10" t="s">
        <v>7</v>
      </c>
      <c r="L6" s="10" t="s">
        <v>8</v>
      </c>
      <c r="M6" s="10" t="s">
        <v>233</v>
      </c>
      <c r="N6" s="9" t="s">
        <v>6</v>
      </c>
      <c r="O6" s="10" t="s">
        <v>7</v>
      </c>
      <c r="P6" s="10" t="s">
        <v>8</v>
      </c>
      <c r="Q6" s="10" t="s">
        <v>231</v>
      </c>
      <c r="R6" s="9" t="s">
        <v>6</v>
      </c>
      <c r="S6" s="10" t="s">
        <v>7</v>
      </c>
      <c r="T6" s="10" t="s">
        <v>8</v>
      </c>
      <c r="U6" s="10" t="s">
        <v>231</v>
      </c>
      <c r="V6" s="125"/>
    </row>
    <row r="7" spans="1:27" ht="16.5">
      <c r="A7" s="11" t="s">
        <v>9</v>
      </c>
      <c r="B7" s="12">
        <v>2</v>
      </c>
      <c r="C7" s="13">
        <v>3</v>
      </c>
      <c r="D7" s="13">
        <v>4</v>
      </c>
      <c r="E7" s="13">
        <v>5</v>
      </c>
      <c r="F7" s="9">
        <v>6</v>
      </c>
      <c r="G7" s="10">
        <v>7</v>
      </c>
      <c r="H7" s="10">
        <v>8</v>
      </c>
      <c r="I7" s="10">
        <v>9</v>
      </c>
      <c r="J7" s="9">
        <v>10</v>
      </c>
      <c r="K7" s="10">
        <v>11</v>
      </c>
      <c r="L7" s="10">
        <v>12</v>
      </c>
      <c r="M7" s="10">
        <v>13</v>
      </c>
      <c r="N7" s="9">
        <v>14</v>
      </c>
      <c r="O7" s="10">
        <v>15</v>
      </c>
      <c r="P7" s="10">
        <v>16</v>
      </c>
      <c r="Q7" s="10">
        <v>17</v>
      </c>
      <c r="R7" s="9">
        <v>18</v>
      </c>
      <c r="S7" s="10">
        <v>19</v>
      </c>
      <c r="T7" s="10">
        <v>20</v>
      </c>
      <c r="U7" s="10">
        <v>21</v>
      </c>
      <c r="V7" s="10">
        <v>22</v>
      </c>
    </row>
    <row r="8" spans="1:27" ht="19.5">
      <c r="A8" s="14"/>
      <c r="B8" s="15" t="s">
        <v>10</v>
      </c>
      <c r="C8" s="13"/>
      <c r="D8" s="13"/>
      <c r="E8" s="13"/>
      <c r="F8" s="16">
        <f>G8+H8+I8</f>
        <v>19301991.100000001</v>
      </c>
      <c r="G8" s="16">
        <f>G9+G36+G66+G104+G113+G129+G141+G158+G178+G196+G201</f>
        <v>6364638.2000000002</v>
      </c>
      <c r="H8" s="16">
        <f>H9+H36+H66+H104+H113+H129+H141+H158+H178+H196+H201</f>
        <v>12392635.300000001</v>
      </c>
      <c r="I8" s="16">
        <f>I9+I36+I66+I104+I113+I129+I141+I158+I178+I196+I201</f>
        <v>544717.6</v>
      </c>
      <c r="J8" s="16">
        <f>K8+L8+M8</f>
        <v>6691158.7000000002</v>
      </c>
      <c r="K8" s="16">
        <f>K9+K36+K66+K104+K113+K129+K141+K158+K178+K196+K201</f>
        <v>2077237.1</v>
      </c>
      <c r="L8" s="16">
        <f>L9+L36+L66+L104+L113+L129+L141+L158+L178+L196+L201</f>
        <v>4338400.8</v>
      </c>
      <c r="M8" s="16">
        <f>M9+M36+M66+M104+M113+M129+M141+M158+M178+M196+M201</f>
        <v>275520.8</v>
      </c>
      <c r="N8" s="16">
        <f>O8+P8+Q8</f>
        <v>15638557.4</v>
      </c>
      <c r="O8" s="16">
        <f>O9+O36+O66+O104+O113+O129+O141+O158+O178+O196+O201</f>
        <v>5314045.2</v>
      </c>
      <c r="P8" s="16">
        <f>P9+P36+P66+P104+P113+P129+P141+P158+P178+P196+P201</f>
        <v>10178187.300000001</v>
      </c>
      <c r="Q8" s="16">
        <f>Q9+Q36+Q66+Q104+Q113+Q129+Q141+Q158+Q178+Q196+Q201</f>
        <v>146324.9</v>
      </c>
      <c r="R8" s="16">
        <f>S8+T8+U8</f>
        <v>14691196.199999999</v>
      </c>
      <c r="S8" s="16">
        <f>S9+S36+S66+S104+S113+S129+S141+S158+S178+S196+S201</f>
        <v>4699081.2</v>
      </c>
      <c r="T8" s="16">
        <f>T9+T36+T66+T104+T113+T129+T141+T158+T178+T196+T201</f>
        <v>9856757.1999999993</v>
      </c>
      <c r="U8" s="16">
        <f>U9+U36+U66+U104+U113+U129+U141+U158+U178+U196+U201</f>
        <v>135357.79999999999</v>
      </c>
      <c r="V8" s="17">
        <f>J8/F8</f>
        <v>0.34699999999999998</v>
      </c>
      <c r="X8" s="18"/>
    </row>
    <row r="9" spans="1:27" ht="18.75">
      <c r="A9" s="19">
        <v>1</v>
      </c>
      <c r="B9" s="20" t="s">
        <v>11</v>
      </c>
      <c r="C9" s="21" t="s">
        <v>12</v>
      </c>
      <c r="D9" s="21" t="s">
        <v>12</v>
      </c>
      <c r="E9" s="21" t="s">
        <v>12</v>
      </c>
      <c r="F9" s="22">
        <f t="shared" ref="F9:F40" si="0">G9+H9+I9</f>
        <v>2713448.4</v>
      </c>
      <c r="G9" s="22">
        <f>G10+G16+G25+G31</f>
        <v>562818</v>
      </c>
      <c r="H9" s="22">
        <f>H10+H16+H25+H31</f>
        <v>2056478.9</v>
      </c>
      <c r="I9" s="22">
        <f>I10+I16+I25+I31</f>
        <v>94151.5</v>
      </c>
      <c r="J9" s="22">
        <f t="shared" ref="J9:J10" si="1">K9+L9+M9</f>
        <v>1684729.7</v>
      </c>
      <c r="K9" s="22">
        <f>K10+K16+K25+K31</f>
        <v>357464.8</v>
      </c>
      <c r="L9" s="22">
        <f>L10+L16+L25+L31</f>
        <v>1259566.7</v>
      </c>
      <c r="M9" s="22">
        <f>M10+M16+M25+M31</f>
        <v>67698.2</v>
      </c>
      <c r="N9" s="22">
        <f t="shared" ref="N9:N10" si="2">O9+P9+Q9</f>
        <v>2239111.6</v>
      </c>
      <c r="O9" s="22">
        <f>O10+O16+O25+O31</f>
        <v>212421.8</v>
      </c>
      <c r="P9" s="22">
        <f>P10+P16+P25+P31</f>
        <v>2013499.5</v>
      </c>
      <c r="Q9" s="22">
        <f>Q10+Q16+Q25+Q31</f>
        <v>13190.3</v>
      </c>
      <c r="R9" s="22">
        <f t="shared" ref="R9:R10" si="3">S9+T9+U9</f>
        <v>2324765</v>
      </c>
      <c r="S9" s="22">
        <f>S10+S16+S25+S31</f>
        <v>218134</v>
      </c>
      <c r="T9" s="22">
        <f>T10+T16+T25+T31</f>
        <v>2094560</v>
      </c>
      <c r="U9" s="22">
        <f>U10+U16+U25+U31</f>
        <v>12071</v>
      </c>
      <c r="V9" s="23">
        <f t="shared" ref="V9:V40" si="4">J9/F9</f>
        <v>0.621</v>
      </c>
      <c r="X9" s="97"/>
      <c r="Y9" s="18"/>
      <c r="Z9" s="18"/>
    </row>
    <row r="10" spans="1:27" ht="39.75" customHeight="1">
      <c r="A10" s="24" t="s">
        <v>13</v>
      </c>
      <c r="B10" s="48" t="s">
        <v>14</v>
      </c>
      <c r="C10" s="26" t="s">
        <v>12</v>
      </c>
      <c r="D10" s="26" t="s">
        <v>12</v>
      </c>
      <c r="E10" s="26" t="s">
        <v>12</v>
      </c>
      <c r="F10" s="28">
        <f>G10+H10+I10</f>
        <v>189.4</v>
      </c>
      <c r="G10" s="28">
        <f>SUM(G12:G15)</f>
        <v>0</v>
      </c>
      <c r="H10" s="28">
        <f>SUM(H12:H15)</f>
        <v>189.4</v>
      </c>
      <c r="I10" s="28">
        <f>SUM(I12:I15)</f>
        <v>0</v>
      </c>
      <c r="J10" s="28">
        <f t="shared" si="1"/>
        <v>188.8</v>
      </c>
      <c r="K10" s="28">
        <f>SUM(K12:K15)</f>
        <v>0</v>
      </c>
      <c r="L10" s="28">
        <f>SUM(L12:L15)</f>
        <v>188.8</v>
      </c>
      <c r="M10" s="28">
        <f>SUM(M12:M15)</f>
        <v>0</v>
      </c>
      <c r="N10" s="27">
        <f t="shared" si="2"/>
        <v>189.4</v>
      </c>
      <c r="O10" s="28">
        <f>SUM(O12:O15)</f>
        <v>0</v>
      </c>
      <c r="P10" s="28">
        <f>SUM(P12:P15)</f>
        <v>189.4</v>
      </c>
      <c r="Q10" s="28">
        <f>SUM(Q12:Q15)</f>
        <v>0</v>
      </c>
      <c r="R10" s="27">
        <f t="shared" si="3"/>
        <v>210.4</v>
      </c>
      <c r="S10" s="28">
        <f>SUM(S12:S15)</f>
        <v>0</v>
      </c>
      <c r="T10" s="28">
        <f>SUM(T12:T15)</f>
        <v>210.4</v>
      </c>
      <c r="U10" s="28">
        <f>SUM(U12:U15)</f>
        <v>0</v>
      </c>
      <c r="V10" s="29">
        <f t="shared" si="4"/>
        <v>0.997</v>
      </c>
      <c r="X10" s="97"/>
      <c r="Y10" s="18"/>
      <c r="Z10" s="18"/>
      <c r="AA10" s="18"/>
    </row>
    <row r="11" spans="1:27" ht="18.75">
      <c r="A11" s="24"/>
      <c r="B11" s="40" t="s">
        <v>15</v>
      </c>
      <c r="C11" s="32"/>
      <c r="D11" s="32"/>
      <c r="E11" s="32"/>
      <c r="F11" s="28"/>
      <c r="G11" s="33"/>
      <c r="H11" s="33"/>
      <c r="I11" s="33"/>
      <c r="J11" s="28"/>
      <c r="K11" s="33"/>
      <c r="L11" s="33"/>
      <c r="M11" s="33"/>
      <c r="N11" s="27"/>
      <c r="O11" s="33"/>
      <c r="P11" s="33"/>
      <c r="Q11" s="33"/>
      <c r="R11" s="27"/>
      <c r="S11" s="33"/>
      <c r="T11" s="33"/>
      <c r="U11" s="33"/>
      <c r="V11" s="34"/>
      <c r="X11" s="18"/>
      <c r="Y11" s="18"/>
      <c r="Z11" s="18"/>
    </row>
    <row r="12" spans="1:27" ht="57" customHeight="1">
      <c r="A12" s="24"/>
      <c r="B12" s="41" t="s">
        <v>213</v>
      </c>
      <c r="C12" s="35">
        <v>821</v>
      </c>
      <c r="D12" s="36" t="s">
        <v>19</v>
      </c>
      <c r="E12" s="35" t="s">
        <v>255</v>
      </c>
      <c r="F12" s="28">
        <f>G12+H12+I12</f>
        <v>0</v>
      </c>
      <c r="G12" s="33">
        <f>66370-66370</f>
        <v>0</v>
      </c>
      <c r="H12" s="33"/>
      <c r="I12" s="33"/>
      <c r="J12" s="28">
        <f>K12+L12+M12</f>
        <v>0</v>
      </c>
      <c r="K12" s="33"/>
      <c r="L12" s="33"/>
      <c r="M12" s="33"/>
      <c r="N12" s="27">
        <f>O12+P12+Q12</f>
        <v>0</v>
      </c>
      <c r="O12" s="33"/>
      <c r="P12" s="33"/>
      <c r="Q12" s="33"/>
      <c r="R12" s="27">
        <f>S12+T12+U12</f>
        <v>0</v>
      </c>
      <c r="S12" s="33"/>
      <c r="T12" s="33"/>
      <c r="U12" s="33"/>
      <c r="V12" s="34" t="e">
        <f t="shared" si="4"/>
        <v>#DIV/0!</v>
      </c>
      <c r="X12" s="18"/>
      <c r="Y12" s="18"/>
      <c r="Z12" s="18"/>
    </row>
    <row r="13" spans="1:27" ht="72" customHeight="1">
      <c r="A13" s="24"/>
      <c r="B13" s="41" t="s">
        <v>236</v>
      </c>
      <c r="C13" s="35">
        <v>821</v>
      </c>
      <c r="D13" s="36" t="s">
        <v>19</v>
      </c>
      <c r="E13" s="35" t="s">
        <v>336</v>
      </c>
      <c r="F13" s="28">
        <f t="shared" ref="F13:F15" si="5">G13+H13+I13</f>
        <v>0</v>
      </c>
      <c r="G13" s="33">
        <f>5255-5255</f>
        <v>0</v>
      </c>
      <c r="H13" s="33"/>
      <c r="I13" s="33"/>
      <c r="J13" s="28">
        <f t="shared" ref="J13:J15" si="6">K13+L13+M13</f>
        <v>0</v>
      </c>
      <c r="K13" s="33"/>
      <c r="L13" s="33"/>
      <c r="M13" s="33"/>
      <c r="N13" s="27">
        <f t="shared" ref="N13:N15" si="7">O13+P13+Q13</f>
        <v>0</v>
      </c>
      <c r="O13" s="33"/>
      <c r="P13" s="33"/>
      <c r="Q13" s="33"/>
      <c r="R13" s="27">
        <f t="shared" ref="R13:R15" si="8">S13+T13+U13</f>
        <v>0</v>
      </c>
      <c r="S13" s="33"/>
      <c r="T13" s="33"/>
      <c r="U13" s="33"/>
      <c r="V13" s="34" t="e">
        <f t="shared" si="4"/>
        <v>#DIV/0!</v>
      </c>
      <c r="X13" s="18"/>
      <c r="Y13" s="18"/>
    </row>
    <row r="14" spans="1:27" ht="70.5" customHeight="1">
      <c r="A14" s="24"/>
      <c r="B14" s="41" t="s">
        <v>256</v>
      </c>
      <c r="C14" s="35">
        <v>821</v>
      </c>
      <c r="D14" s="36" t="s">
        <v>19</v>
      </c>
      <c r="E14" s="35" t="s">
        <v>154</v>
      </c>
      <c r="F14" s="28">
        <f t="shared" si="5"/>
        <v>0</v>
      </c>
      <c r="G14" s="33">
        <f>375.2-375.2</f>
        <v>0</v>
      </c>
      <c r="H14" s="33"/>
      <c r="I14" s="33"/>
      <c r="J14" s="28">
        <f t="shared" si="6"/>
        <v>0</v>
      </c>
      <c r="K14" s="33"/>
      <c r="L14" s="33"/>
      <c r="M14" s="33"/>
      <c r="N14" s="27">
        <f t="shared" si="7"/>
        <v>0</v>
      </c>
      <c r="O14" s="33"/>
      <c r="P14" s="33"/>
      <c r="Q14" s="33"/>
      <c r="R14" s="27">
        <f t="shared" si="8"/>
        <v>0</v>
      </c>
      <c r="S14" s="33"/>
      <c r="T14" s="33"/>
      <c r="U14" s="33"/>
      <c r="V14" s="34" t="e">
        <f t="shared" ref="V14" si="9">J14/F14</f>
        <v>#DIV/0!</v>
      </c>
      <c r="X14" s="18"/>
      <c r="Y14" s="18"/>
    </row>
    <row r="15" spans="1:27" ht="74.25" customHeight="1">
      <c r="A15" s="24"/>
      <c r="B15" s="41" t="s">
        <v>18</v>
      </c>
      <c r="C15" s="35" t="s">
        <v>257</v>
      </c>
      <c r="D15" s="36" t="s">
        <v>17</v>
      </c>
      <c r="E15" s="35" t="s">
        <v>182</v>
      </c>
      <c r="F15" s="28">
        <f t="shared" si="5"/>
        <v>189.4</v>
      </c>
      <c r="G15" s="33"/>
      <c r="H15" s="33">
        <v>189.4</v>
      </c>
      <c r="I15" s="16"/>
      <c r="J15" s="28">
        <f t="shared" si="6"/>
        <v>188.8</v>
      </c>
      <c r="K15" s="33"/>
      <c r="L15" s="33">
        <v>188.8</v>
      </c>
      <c r="M15" s="33"/>
      <c r="N15" s="27">
        <f t="shared" si="7"/>
        <v>189.4</v>
      </c>
      <c r="O15" s="33"/>
      <c r="P15" s="33">
        <v>189.4</v>
      </c>
      <c r="Q15" s="33"/>
      <c r="R15" s="27">
        <f t="shared" si="8"/>
        <v>210.4</v>
      </c>
      <c r="S15" s="33"/>
      <c r="T15" s="33">
        <v>210.4</v>
      </c>
      <c r="U15" s="33"/>
      <c r="V15" s="34">
        <f t="shared" si="4"/>
        <v>0.997</v>
      </c>
      <c r="X15" s="18"/>
    </row>
    <row r="16" spans="1:27" ht="33">
      <c r="A16" s="11" t="s">
        <v>21</v>
      </c>
      <c r="B16" s="48" t="s">
        <v>22</v>
      </c>
      <c r="C16" s="26" t="s">
        <v>12</v>
      </c>
      <c r="D16" s="26" t="s">
        <v>12</v>
      </c>
      <c r="E16" s="26" t="s">
        <v>12</v>
      </c>
      <c r="F16" s="28">
        <f t="shared" si="0"/>
        <v>234861.8</v>
      </c>
      <c r="G16" s="28">
        <f>SUM(G18:G24)</f>
        <v>116085.8</v>
      </c>
      <c r="H16" s="28">
        <f>SUM(H18:H24)</f>
        <v>102014.39999999999</v>
      </c>
      <c r="I16" s="28">
        <f>SUM(I18:I24)</f>
        <v>16761.599999999999</v>
      </c>
      <c r="J16" s="28">
        <f t="shared" ref="J16" si="10">K16+L16+M16</f>
        <v>157699.20000000001</v>
      </c>
      <c r="K16" s="28">
        <f>SUM(K18:K24)</f>
        <v>83070.5</v>
      </c>
      <c r="L16" s="28">
        <f>SUM(L18:L24)</f>
        <v>62301.4</v>
      </c>
      <c r="M16" s="28">
        <f>SUM(M18:M24)</f>
        <v>12327.3</v>
      </c>
      <c r="N16" s="27">
        <f t="shared" ref="N16" si="11">O16+P16+Q16</f>
        <v>147253</v>
      </c>
      <c r="O16" s="28">
        <f>SUM(O18:O24)</f>
        <v>104919.6</v>
      </c>
      <c r="P16" s="28">
        <f>SUM(P18:P24)</f>
        <v>29143.1</v>
      </c>
      <c r="Q16" s="28">
        <f>SUM(Q18:Q24)</f>
        <v>13190.3</v>
      </c>
      <c r="R16" s="27">
        <f t="shared" ref="R16" si="12">S16+T16+U16</f>
        <v>140774.79999999999</v>
      </c>
      <c r="S16" s="28">
        <f>SUM(S18:S24)</f>
        <v>104733.9</v>
      </c>
      <c r="T16" s="28">
        <f>SUM(T18:T24)</f>
        <v>23969.9</v>
      </c>
      <c r="U16" s="28">
        <f>SUM(U18:U24)</f>
        <v>12071</v>
      </c>
      <c r="V16" s="38">
        <f t="shared" si="4"/>
        <v>0.67100000000000004</v>
      </c>
    </row>
    <row r="17" spans="1:22" ht="18.75">
      <c r="A17" s="39"/>
      <c r="B17" s="40" t="s">
        <v>15</v>
      </c>
      <c r="C17" s="32"/>
      <c r="D17" s="32"/>
      <c r="E17" s="32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38"/>
    </row>
    <row r="18" spans="1:22" ht="119.25" customHeight="1">
      <c r="A18" s="39"/>
      <c r="B18" s="89" t="s">
        <v>25</v>
      </c>
      <c r="C18" s="35">
        <v>813</v>
      </c>
      <c r="D18" s="36" t="s">
        <v>24</v>
      </c>
      <c r="E18" s="35" t="s">
        <v>169</v>
      </c>
      <c r="F18" s="28">
        <f>G18+H18+I18</f>
        <v>10710.5</v>
      </c>
      <c r="G18" s="33">
        <v>9000</v>
      </c>
      <c r="H18" s="33"/>
      <c r="I18" s="33">
        <v>1710.5</v>
      </c>
      <c r="J18" s="27">
        <f t="shared" ref="J18:J25" si="13">K18+L18+M18</f>
        <v>10530.5</v>
      </c>
      <c r="K18" s="33">
        <f>1500+3600+1200+2700</f>
        <v>9000</v>
      </c>
      <c r="L18" s="33"/>
      <c r="M18" s="33">
        <v>1530.5</v>
      </c>
      <c r="N18" s="27">
        <f t="shared" ref="N18:N25" si="14">O18+P18+Q18</f>
        <v>9689</v>
      </c>
      <c r="O18" s="33">
        <v>9000</v>
      </c>
      <c r="P18" s="33"/>
      <c r="Q18" s="33">
        <v>689</v>
      </c>
      <c r="R18" s="27">
        <f t="shared" ref="R18:R25" si="15">S18+T18+U18</f>
        <v>9629</v>
      </c>
      <c r="S18" s="33">
        <v>9000</v>
      </c>
      <c r="T18" s="33"/>
      <c r="U18" s="94">
        <v>629</v>
      </c>
      <c r="V18" s="34">
        <f t="shared" si="4"/>
        <v>0.98299999999999998</v>
      </c>
    </row>
    <row r="19" spans="1:22" ht="78.75" customHeight="1">
      <c r="A19" s="39"/>
      <c r="B19" s="41" t="s">
        <v>167</v>
      </c>
      <c r="C19" s="35">
        <v>813</v>
      </c>
      <c r="D19" s="36" t="s">
        <v>24</v>
      </c>
      <c r="E19" s="35" t="s">
        <v>166</v>
      </c>
      <c r="F19" s="28">
        <f t="shared" si="0"/>
        <v>13078.7</v>
      </c>
      <c r="G19" s="33">
        <f>30000-17583.3</f>
        <v>12416.7</v>
      </c>
      <c r="H19" s="33"/>
      <c r="I19" s="95">
        <v>662</v>
      </c>
      <c r="J19" s="27">
        <f t="shared" si="13"/>
        <v>12832.7</v>
      </c>
      <c r="K19" s="33">
        <f>2113.4+6146.6+4156.7</f>
        <v>12416.7</v>
      </c>
      <c r="L19" s="33"/>
      <c r="M19" s="33">
        <v>416</v>
      </c>
      <c r="N19" s="27">
        <f t="shared" si="14"/>
        <v>10621.6</v>
      </c>
      <c r="O19" s="33">
        <v>10000</v>
      </c>
      <c r="P19" s="33"/>
      <c r="Q19" s="33">
        <v>621.6</v>
      </c>
      <c r="R19" s="27">
        <f t="shared" si="15"/>
        <v>10620.7</v>
      </c>
      <c r="S19" s="33">
        <v>10000</v>
      </c>
      <c r="T19" s="33"/>
      <c r="U19" s="33">
        <v>620.70000000000005</v>
      </c>
      <c r="V19" s="34">
        <f t="shared" si="4"/>
        <v>0.98099999999999998</v>
      </c>
    </row>
    <row r="20" spans="1:22" ht="49.5" customHeight="1">
      <c r="A20" s="39"/>
      <c r="B20" s="41" t="s">
        <v>26</v>
      </c>
      <c r="C20" s="35">
        <v>813</v>
      </c>
      <c r="D20" s="36" t="s">
        <v>24</v>
      </c>
      <c r="E20" s="35" t="s">
        <v>168</v>
      </c>
      <c r="F20" s="28">
        <f t="shared" si="0"/>
        <v>99762.9</v>
      </c>
      <c r="G20" s="33">
        <v>86353.2</v>
      </c>
      <c r="H20" s="33"/>
      <c r="I20" s="33">
        <v>13409.7</v>
      </c>
      <c r="J20" s="27">
        <f t="shared" si="13"/>
        <v>66182.600000000006</v>
      </c>
      <c r="K20" s="33">
        <v>56406.400000000001</v>
      </c>
      <c r="L20" s="33"/>
      <c r="M20" s="33">
        <v>9776.2000000000007</v>
      </c>
      <c r="N20" s="27">
        <f t="shared" si="14"/>
        <v>93812.800000000003</v>
      </c>
      <c r="O20" s="33">
        <v>82177.2</v>
      </c>
      <c r="P20" s="33"/>
      <c r="Q20" s="33">
        <v>11635.6</v>
      </c>
      <c r="R20" s="27">
        <f t="shared" si="15"/>
        <v>92737.2</v>
      </c>
      <c r="S20" s="33">
        <v>82177.2</v>
      </c>
      <c r="T20" s="33"/>
      <c r="U20" s="33">
        <v>10560</v>
      </c>
      <c r="V20" s="34">
        <f t="shared" si="4"/>
        <v>0.66300000000000003</v>
      </c>
    </row>
    <row r="21" spans="1:22" ht="89.25" customHeight="1">
      <c r="A21" s="39"/>
      <c r="B21" s="41" t="s">
        <v>125</v>
      </c>
      <c r="C21" s="35">
        <v>813</v>
      </c>
      <c r="D21" s="36" t="s">
        <v>24</v>
      </c>
      <c r="E21" s="35" t="s">
        <v>126</v>
      </c>
      <c r="F21" s="28">
        <f t="shared" si="0"/>
        <v>8371.2999999999993</v>
      </c>
      <c r="G21" s="33">
        <v>3000</v>
      </c>
      <c r="H21" s="33">
        <v>5137.7</v>
      </c>
      <c r="I21" s="33">
        <v>233.6</v>
      </c>
      <c r="J21" s="27">
        <f t="shared" si="13"/>
        <v>3045.8</v>
      </c>
      <c r="K21" s="33">
        <v>1095.5999999999999</v>
      </c>
      <c r="L21" s="33">
        <v>1876.3</v>
      </c>
      <c r="M21" s="33">
        <v>73.900000000000006</v>
      </c>
      <c r="N21" s="27">
        <f t="shared" si="14"/>
        <v>8381.7999999999993</v>
      </c>
      <c r="O21" s="33">
        <v>3000</v>
      </c>
      <c r="P21" s="33">
        <v>5137.7</v>
      </c>
      <c r="Q21" s="33">
        <v>244.1</v>
      </c>
      <c r="R21" s="27">
        <f t="shared" si="15"/>
        <v>9231.2000000000007</v>
      </c>
      <c r="S21" s="33">
        <v>3000</v>
      </c>
      <c r="T21" s="33">
        <v>5969.9</v>
      </c>
      <c r="U21" s="33">
        <v>261.3</v>
      </c>
      <c r="V21" s="34">
        <f t="shared" si="4"/>
        <v>0.36399999999999999</v>
      </c>
    </row>
    <row r="22" spans="1:22" ht="75.75" customHeight="1">
      <c r="A22" s="39"/>
      <c r="B22" s="41" t="s">
        <v>127</v>
      </c>
      <c r="C22" s="35" t="s">
        <v>258</v>
      </c>
      <c r="D22" s="36" t="s">
        <v>19</v>
      </c>
      <c r="E22" s="35" t="s">
        <v>128</v>
      </c>
      <c r="F22" s="28">
        <f t="shared" si="0"/>
        <v>75536</v>
      </c>
      <c r="G22" s="33">
        <v>2253.5</v>
      </c>
      <c r="H22" s="33">
        <v>72862.399999999994</v>
      </c>
      <c r="I22" s="33">
        <v>420.1</v>
      </c>
      <c r="J22" s="27">
        <f t="shared" si="13"/>
        <v>38134.800000000003</v>
      </c>
      <c r="K22" s="33">
        <v>1137.7</v>
      </c>
      <c r="L22" s="33">
        <v>36785</v>
      </c>
      <c r="M22" s="33">
        <v>212.1</v>
      </c>
      <c r="N22" s="27">
        <f t="shared" si="14"/>
        <v>0</v>
      </c>
      <c r="O22" s="33">
        <v>0</v>
      </c>
      <c r="P22" s="33"/>
      <c r="Q22" s="33"/>
      <c r="R22" s="27">
        <f t="shared" si="15"/>
        <v>0</v>
      </c>
      <c r="S22" s="33">
        <v>0</v>
      </c>
      <c r="T22" s="33"/>
      <c r="U22" s="87"/>
      <c r="V22" s="34">
        <f t="shared" si="4"/>
        <v>0.505</v>
      </c>
    </row>
    <row r="23" spans="1:22" ht="54.75" customHeight="1">
      <c r="A23" s="39"/>
      <c r="B23" s="41" t="s">
        <v>23</v>
      </c>
      <c r="C23" s="35">
        <v>813</v>
      </c>
      <c r="D23" s="36" t="s">
        <v>24</v>
      </c>
      <c r="E23" s="35" t="s">
        <v>129</v>
      </c>
      <c r="F23" s="28">
        <f t="shared" si="0"/>
        <v>8845.7000000000007</v>
      </c>
      <c r="G23" s="33">
        <v>2505.6999999999998</v>
      </c>
      <c r="H23" s="33">
        <v>6014.3</v>
      </c>
      <c r="I23" s="33">
        <v>325.7</v>
      </c>
      <c r="J23" s="27">
        <f t="shared" si="13"/>
        <v>8703.6</v>
      </c>
      <c r="K23" s="33">
        <v>2466</v>
      </c>
      <c r="L23" s="33">
        <v>5919</v>
      </c>
      <c r="M23" s="33">
        <v>318.60000000000002</v>
      </c>
      <c r="N23" s="27">
        <f t="shared" si="14"/>
        <v>6191.1</v>
      </c>
      <c r="O23" s="33">
        <v>185.7</v>
      </c>
      <c r="P23" s="33">
        <v>6005.4</v>
      </c>
      <c r="Q23" s="33"/>
      <c r="R23" s="27">
        <f t="shared" si="15"/>
        <v>0</v>
      </c>
      <c r="S23" s="33">
        <v>0</v>
      </c>
      <c r="T23" s="33"/>
      <c r="U23" s="33"/>
      <c r="V23" s="34">
        <f t="shared" si="4"/>
        <v>0.98399999999999999</v>
      </c>
    </row>
    <row r="24" spans="1:22" ht="57.75" customHeight="1">
      <c r="A24" s="39"/>
      <c r="B24" s="41" t="s">
        <v>130</v>
      </c>
      <c r="C24" s="35">
        <v>813</v>
      </c>
      <c r="D24" s="36" t="s">
        <v>24</v>
      </c>
      <c r="E24" s="35" t="s">
        <v>131</v>
      </c>
      <c r="F24" s="28">
        <f t="shared" si="0"/>
        <v>18556.7</v>
      </c>
      <c r="G24" s="33">
        <v>556.70000000000005</v>
      </c>
      <c r="H24" s="33">
        <v>18000</v>
      </c>
      <c r="I24" s="33"/>
      <c r="J24" s="27">
        <f t="shared" si="13"/>
        <v>18269.2</v>
      </c>
      <c r="K24" s="33">
        <v>548.1</v>
      </c>
      <c r="L24" s="33">
        <v>17721.099999999999</v>
      </c>
      <c r="M24" s="33"/>
      <c r="N24" s="27">
        <f t="shared" si="14"/>
        <v>18556.7</v>
      </c>
      <c r="O24" s="33">
        <v>556.70000000000005</v>
      </c>
      <c r="P24" s="33">
        <v>18000</v>
      </c>
      <c r="Q24" s="33"/>
      <c r="R24" s="27">
        <f t="shared" si="15"/>
        <v>18556.7</v>
      </c>
      <c r="S24" s="33">
        <v>556.70000000000005</v>
      </c>
      <c r="T24" s="33">
        <v>18000</v>
      </c>
      <c r="U24" s="33"/>
      <c r="V24" s="34">
        <f t="shared" si="4"/>
        <v>0.98499999999999999</v>
      </c>
    </row>
    <row r="25" spans="1:22" ht="42" customHeight="1">
      <c r="A25" s="11" t="s">
        <v>27</v>
      </c>
      <c r="B25" s="48" t="s">
        <v>229</v>
      </c>
      <c r="C25" s="26" t="s">
        <v>12</v>
      </c>
      <c r="D25" s="26" t="s">
        <v>12</v>
      </c>
      <c r="E25" s="26" t="s">
        <v>12</v>
      </c>
      <c r="F25" s="28">
        <f t="shared" si="0"/>
        <v>357099.5</v>
      </c>
      <c r="G25" s="28">
        <f>SUM(G27:G30)</f>
        <v>158511.79999999999</v>
      </c>
      <c r="H25" s="28">
        <f>SUM(H27:H30)</f>
        <v>121197.8</v>
      </c>
      <c r="I25" s="28">
        <f>SUM(I27:I30)</f>
        <v>77389.899999999994</v>
      </c>
      <c r="J25" s="28">
        <f t="shared" si="13"/>
        <v>282117.40000000002</v>
      </c>
      <c r="K25" s="28">
        <f>SUM(K27:K30)</f>
        <v>126270.39999999999</v>
      </c>
      <c r="L25" s="28">
        <f>SUM(L27:L30)</f>
        <v>100476.1</v>
      </c>
      <c r="M25" s="28">
        <f>SUM(M27:M30)</f>
        <v>55370.9</v>
      </c>
      <c r="N25" s="27">
        <f t="shared" si="14"/>
        <v>9202.1</v>
      </c>
      <c r="O25" s="28">
        <f>SUM(O27:O30)</f>
        <v>276.2</v>
      </c>
      <c r="P25" s="28">
        <f>SUM(P27:P30)</f>
        <v>8925.9</v>
      </c>
      <c r="Q25" s="28">
        <f>SUM(Q27:Q30)</f>
        <v>0</v>
      </c>
      <c r="R25" s="27">
        <f t="shared" si="15"/>
        <v>5500.1</v>
      </c>
      <c r="S25" s="28">
        <f>SUM(S27:S30)</f>
        <v>165.1</v>
      </c>
      <c r="T25" s="28">
        <f>SUM(T27:T30)</f>
        <v>5335</v>
      </c>
      <c r="U25" s="28">
        <f>SUM(U27:U30)</f>
        <v>0</v>
      </c>
      <c r="V25" s="29">
        <f t="shared" si="4"/>
        <v>0.79</v>
      </c>
    </row>
    <row r="26" spans="1:22" ht="18.75">
      <c r="A26" s="24"/>
      <c r="B26" s="40" t="s">
        <v>15</v>
      </c>
      <c r="C26" s="32"/>
      <c r="D26" s="32"/>
      <c r="E26" s="32"/>
      <c r="F26" s="28"/>
      <c r="G26" s="28"/>
      <c r="H26" s="28"/>
      <c r="I26" s="28"/>
      <c r="J26" s="28"/>
      <c r="K26" s="28"/>
      <c r="L26" s="28"/>
      <c r="M26" s="28"/>
      <c r="N26" s="27"/>
      <c r="O26" s="28"/>
      <c r="P26" s="28"/>
      <c r="Q26" s="28"/>
      <c r="R26" s="27"/>
      <c r="S26" s="28"/>
      <c r="T26" s="28"/>
      <c r="U26" s="28"/>
      <c r="V26" s="29"/>
    </row>
    <row r="27" spans="1:22" ht="46.5" customHeight="1">
      <c r="A27" s="99"/>
      <c r="B27" s="100" t="s">
        <v>112</v>
      </c>
      <c r="C27" s="101" t="s">
        <v>259</v>
      </c>
      <c r="D27" s="102" t="s">
        <v>16</v>
      </c>
      <c r="E27" s="35" t="s">
        <v>204</v>
      </c>
      <c r="F27" s="28">
        <f t="shared" si="0"/>
        <v>10000</v>
      </c>
      <c r="G27" s="33">
        <v>300</v>
      </c>
      <c r="H27" s="33">
        <v>9700</v>
      </c>
      <c r="I27" s="53"/>
      <c r="J27" s="28">
        <f t="shared" ref="J27:J31" si="16">K27+L27+M27</f>
        <v>291.2</v>
      </c>
      <c r="K27" s="33">
        <v>8.6999999999999993</v>
      </c>
      <c r="L27" s="33">
        <v>282.5</v>
      </c>
      <c r="M27" s="33"/>
      <c r="N27" s="27">
        <f t="shared" ref="N27:N31" si="17">O27+P27+Q27</f>
        <v>5500.1</v>
      </c>
      <c r="O27" s="33">
        <v>165.1</v>
      </c>
      <c r="P27" s="33">
        <v>5335</v>
      </c>
      <c r="Q27" s="33"/>
      <c r="R27" s="27">
        <f t="shared" ref="R27:R31" si="18">S27+T27+U27</f>
        <v>5500.1</v>
      </c>
      <c r="S27" s="33">
        <v>165.1</v>
      </c>
      <c r="T27" s="33">
        <v>5335</v>
      </c>
      <c r="U27" s="33"/>
      <c r="V27" s="34">
        <f t="shared" si="4"/>
        <v>2.9000000000000001E-2</v>
      </c>
    </row>
    <row r="28" spans="1:22" ht="87" customHeight="1">
      <c r="A28" s="24"/>
      <c r="B28" s="103" t="s">
        <v>354</v>
      </c>
      <c r="C28" s="35" t="s">
        <v>258</v>
      </c>
      <c r="D28" s="36" t="s">
        <v>19</v>
      </c>
      <c r="E28" s="35" t="s">
        <v>352</v>
      </c>
      <c r="F28" s="28">
        <f t="shared" ref="F28:F29" si="19">G28+H28+I28</f>
        <v>115061.3</v>
      </c>
      <c r="G28" s="33">
        <v>3448.4</v>
      </c>
      <c r="H28" s="33">
        <v>111497.8</v>
      </c>
      <c r="I28" s="53">
        <v>115.1</v>
      </c>
      <c r="J28" s="28">
        <f t="shared" ref="J28:J29" si="20">K28+L28+M28</f>
        <v>103395.8</v>
      </c>
      <c r="K28" s="33">
        <v>3098.8</v>
      </c>
      <c r="L28" s="33">
        <v>100193.60000000001</v>
      </c>
      <c r="M28" s="33">
        <v>103.4</v>
      </c>
      <c r="N28" s="27">
        <f t="shared" ref="N28:N29" si="21">O28+P28+Q28</f>
        <v>0</v>
      </c>
      <c r="O28" s="33"/>
      <c r="P28" s="33"/>
      <c r="Q28" s="33"/>
      <c r="R28" s="27">
        <f t="shared" ref="R28:R29" si="22">S28+T28+U28</f>
        <v>0</v>
      </c>
      <c r="S28" s="33"/>
      <c r="T28" s="33"/>
      <c r="U28" s="33"/>
      <c r="V28" s="34">
        <f t="shared" ref="V28:V29" si="23">J28/F28</f>
        <v>0.89900000000000002</v>
      </c>
    </row>
    <row r="29" spans="1:22" ht="90" customHeight="1">
      <c r="A29" s="24"/>
      <c r="B29" s="103" t="s">
        <v>354</v>
      </c>
      <c r="C29" s="35" t="s">
        <v>258</v>
      </c>
      <c r="D29" s="36" t="s">
        <v>19</v>
      </c>
      <c r="E29" s="35" t="s">
        <v>353</v>
      </c>
      <c r="F29" s="28">
        <f t="shared" si="19"/>
        <v>232038.2</v>
      </c>
      <c r="G29" s="33">
        <v>154763.4</v>
      </c>
      <c r="H29" s="33"/>
      <c r="I29" s="53">
        <v>77274.8</v>
      </c>
      <c r="J29" s="28">
        <f t="shared" si="20"/>
        <v>178430.4</v>
      </c>
      <c r="K29" s="33">
        <v>123162.9</v>
      </c>
      <c r="L29" s="33"/>
      <c r="M29" s="33">
        <v>55267.5</v>
      </c>
      <c r="N29" s="27">
        <f t="shared" si="21"/>
        <v>0</v>
      </c>
      <c r="O29" s="33"/>
      <c r="P29" s="33"/>
      <c r="Q29" s="33"/>
      <c r="R29" s="27">
        <f t="shared" si="22"/>
        <v>0</v>
      </c>
      <c r="S29" s="33"/>
      <c r="T29" s="33"/>
      <c r="U29" s="33"/>
      <c r="V29" s="34">
        <f t="shared" si="23"/>
        <v>0.76900000000000002</v>
      </c>
    </row>
    <row r="30" spans="1:22" ht="160.5" customHeight="1">
      <c r="A30" s="24"/>
      <c r="B30" s="89" t="s">
        <v>143</v>
      </c>
      <c r="C30" s="35">
        <v>815</v>
      </c>
      <c r="D30" s="36" t="s">
        <v>48</v>
      </c>
      <c r="E30" s="35" t="s">
        <v>144</v>
      </c>
      <c r="F30" s="28">
        <f t="shared" ref="F30" si="24">G30+H30+I30</f>
        <v>0</v>
      </c>
      <c r="G30" s="33"/>
      <c r="H30" s="33"/>
      <c r="I30" s="33"/>
      <c r="J30" s="28">
        <f t="shared" ref="J30" si="25">K30+L30+M30</f>
        <v>0</v>
      </c>
      <c r="K30" s="33"/>
      <c r="L30" s="33"/>
      <c r="M30" s="33"/>
      <c r="N30" s="27">
        <f t="shared" ref="N30" si="26">O30+P30+Q30</f>
        <v>3702</v>
      </c>
      <c r="O30" s="33">
        <v>111.06</v>
      </c>
      <c r="P30" s="33">
        <v>3590.9</v>
      </c>
      <c r="Q30" s="33"/>
      <c r="R30" s="27">
        <f t="shared" ref="R30" si="27">S30+T30+U30</f>
        <v>0</v>
      </c>
      <c r="S30" s="33">
        <v>0</v>
      </c>
      <c r="T30" s="33">
        <v>0</v>
      </c>
      <c r="U30" s="33"/>
      <c r="V30" s="34" t="e">
        <f t="shared" si="4"/>
        <v>#DIV/0!</v>
      </c>
    </row>
    <row r="31" spans="1:22" ht="33">
      <c r="A31" s="11" t="s">
        <v>28</v>
      </c>
      <c r="B31" s="48" t="s">
        <v>29</v>
      </c>
      <c r="C31" s="26" t="s">
        <v>12</v>
      </c>
      <c r="D31" s="26" t="s">
        <v>12</v>
      </c>
      <c r="E31" s="26" t="s">
        <v>12</v>
      </c>
      <c r="F31" s="28">
        <f t="shared" si="0"/>
        <v>2121297.7000000002</v>
      </c>
      <c r="G31" s="28">
        <f>SUM(G33:G35)</f>
        <v>288220.40000000002</v>
      </c>
      <c r="H31" s="28">
        <f>SUM(H33:H35)</f>
        <v>1833077.3</v>
      </c>
      <c r="I31" s="28">
        <f>SUM(I33:I35)</f>
        <v>0</v>
      </c>
      <c r="J31" s="28">
        <f t="shared" si="16"/>
        <v>1244724.3</v>
      </c>
      <c r="K31" s="28">
        <f>SUM(K33:K35)</f>
        <v>148123.9</v>
      </c>
      <c r="L31" s="28">
        <f>SUM(L33:L35)</f>
        <v>1096600.3999999999</v>
      </c>
      <c r="M31" s="28">
        <f>SUM(M33:M35)</f>
        <v>0</v>
      </c>
      <c r="N31" s="27">
        <f t="shared" si="17"/>
        <v>2082467.1</v>
      </c>
      <c r="O31" s="28">
        <f>SUM(O33:O35)</f>
        <v>107226</v>
      </c>
      <c r="P31" s="28">
        <f>SUM(P33:P35)</f>
        <v>1975241.1</v>
      </c>
      <c r="Q31" s="28">
        <f>SUM(Q33:Q35)</f>
        <v>0</v>
      </c>
      <c r="R31" s="27">
        <f t="shared" si="18"/>
        <v>2178279.7000000002</v>
      </c>
      <c r="S31" s="28">
        <f>SUM(S33:S35)</f>
        <v>113235</v>
      </c>
      <c r="T31" s="28">
        <f>SUM(T33:T35)</f>
        <v>2065044.7</v>
      </c>
      <c r="U31" s="28">
        <f>SUM(U33:U35)</f>
        <v>0</v>
      </c>
      <c r="V31" s="29">
        <f t="shared" si="4"/>
        <v>0.58699999999999997</v>
      </c>
    </row>
    <row r="32" spans="1:22" ht="18.75">
      <c r="A32" s="24"/>
      <c r="B32" s="40" t="s">
        <v>15</v>
      </c>
      <c r="C32" s="32"/>
      <c r="D32" s="42"/>
      <c r="E32" s="32"/>
      <c r="F32" s="28"/>
      <c r="G32" s="28"/>
      <c r="H32" s="28"/>
      <c r="I32" s="28"/>
      <c r="J32" s="28"/>
      <c r="K32" s="28"/>
      <c r="L32" s="28"/>
      <c r="M32" s="28"/>
      <c r="N32" s="27"/>
      <c r="O32" s="28"/>
      <c r="P32" s="28"/>
      <c r="Q32" s="28"/>
      <c r="R32" s="27"/>
      <c r="S32" s="28"/>
      <c r="T32" s="28"/>
      <c r="U32" s="28"/>
      <c r="V32" s="29"/>
    </row>
    <row r="33" spans="1:101" ht="73.5" customHeight="1">
      <c r="A33" s="24"/>
      <c r="B33" s="41" t="s">
        <v>31</v>
      </c>
      <c r="C33" s="35">
        <v>809</v>
      </c>
      <c r="D33" s="36" t="s">
        <v>20</v>
      </c>
      <c r="E33" s="35" t="s">
        <v>152</v>
      </c>
      <c r="F33" s="28">
        <f>G33+H33+I33</f>
        <v>742371</v>
      </c>
      <c r="G33" s="33">
        <v>96508.2</v>
      </c>
      <c r="H33" s="33">
        <v>645862.80000000005</v>
      </c>
      <c r="I33" s="33"/>
      <c r="J33" s="28">
        <f t="shared" ref="J33:J34" si="28">K33+L33+M33</f>
        <v>351182.9</v>
      </c>
      <c r="K33" s="33">
        <v>45653.8</v>
      </c>
      <c r="L33" s="33">
        <v>305529.09999999998</v>
      </c>
      <c r="M33" s="33"/>
      <c r="N33" s="27">
        <f t="shared" ref="N33:N34" si="29">O33+P33+Q33</f>
        <v>824815.6</v>
      </c>
      <c r="O33" s="33">
        <v>107226</v>
      </c>
      <c r="P33" s="33">
        <v>717589.6</v>
      </c>
      <c r="Q33" s="33"/>
      <c r="R33" s="27">
        <f t="shared" ref="R33:R34" si="30">S33+T33+U33</f>
        <v>871038.2</v>
      </c>
      <c r="S33" s="33">
        <v>113235</v>
      </c>
      <c r="T33" s="33">
        <v>757803.2</v>
      </c>
      <c r="U33" s="33"/>
      <c r="V33" s="34">
        <f t="shared" si="4"/>
        <v>0.47299999999999998</v>
      </c>
    </row>
    <row r="34" spans="1:101" ht="48" customHeight="1">
      <c r="A34" s="24"/>
      <c r="B34" s="41" t="s">
        <v>30</v>
      </c>
      <c r="C34" s="35">
        <v>809</v>
      </c>
      <c r="D34" s="36" t="s">
        <v>20</v>
      </c>
      <c r="E34" s="35" t="s">
        <v>153</v>
      </c>
      <c r="F34" s="28">
        <f t="shared" si="0"/>
        <v>1187214.5</v>
      </c>
      <c r="G34" s="33"/>
      <c r="H34" s="33">
        <v>1187214.5</v>
      </c>
      <c r="I34" s="33"/>
      <c r="J34" s="28">
        <f t="shared" si="28"/>
        <v>791071.3</v>
      </c>
      <c r="K34" s="33"/>
      <c r="L34" s="33">
        <v>791071.3</v>
      </c>
      <c r="M34" s="33"/>
      <c r="N34" s="27">
        <f t="shared" si="29"/>
        <v>1257651.5</v>
      </c>
      <c r="O34" s="33"/>
      <c r="P34" s="33">
        <v>1257651.5</v>
      </c>
      <c r="Q34" s="33"/>
      <c r="R34" s="27">
        <f t="shared" si="30"/>
        <v>1307241.5</v>
      </c>
      <c r="S34" s="33"/>
      <c r="T34" s="33">
        <v>1307241.5</v>
      </c>
      <c r="U34" s="33"/>
      <c r="V34" s="34">
        <f t="shared" si="4"/>
        <v>0.66600000000000004</v>
      </c>
    </row>
    <row r="35" spans="1:101" ht="93" customHeight="1">
      <c r="A35" s="24"/>
      <c r="B35" s="41" t="s">
        <v>212</v>
      </c>
      <c r="C35" s="35">
        <v>809</v>
      </c>
      <c r="D35" s="36" t="s">
        <v>20</v>
      </c>
      <c r="E35" s="35" t="s">
        <v>164</v>
      </c>
      <c r="F35" s="28">
        <f t="shared" ref="F35" si="31">G35+H35+I35</f>
        <v>191712.2</v>
      </c>
      <c r="G35" s="33">
        <v>191712.2</v>
      </c>
      <c r="H35" s="33"/>
      <c r="I35" s="33"/>
      <c r="J35" s="27">
        <f t="shared" ref="J35" si="32">K35+L35+M35</f>
        <v>102470.1</v>
      </c>
      <c r="K35" s="33">
        <v>102470.1</v>
      </c>
      <c r="L35" s="33"/>
      <c r="M35" s="33"/>
      <c r="N35" s="27">
        <f t="shared" ref="N35" si="33">O35+P35+Q35</f>
        <v>0</v>
      </c>
      <c r="O35" s="33"/>
      <c r="P35" s="33"/>
      <c r="Q35" s="33"/>
      <c r="R35" s="27">
        <f t="shared" ref="R35" si="34">S35+T35+U35</f>
        <v>0</v>
      </c>
      <c r="S35" s="33"/>
      <c r="T35" s="33"/>
      <c r="U35" s="33"/>
      <c r="V35" s="34">
        <f t="shared" ref="V35" si="35">J35/F35</f>
        <v>0.53400000000000003</v>
      </c>
    </row>
    <row r="36" spans="1:101" ht="24" customHeight="1">
      <c r="A36" s="21" t="s">
        <v>32</v>
      </c>
      <c r="B36" s="43" t="s">
        <v>33</v>
      </c>
      <c r="C36" s="44" t="s">
        <v>12</v>
      </c>
      <c r="D36" s="44" t="s">
        <v>12</v>
      </c>
      <c r="E36" s="44" t="s">
        <v>12</v>
      </c>
      <c r="F36" s="45">
        <f t="shared" si="0"/>
        <v>3713041</v>
      </c>
      <c r="G36" s="45">
        <f>G37+G41+G45+G52+G55</f>
        <v>798079.6</v>
      </c>
      <c r="H36" s="45">
        <f t="shared" ref="H36:I36" si="36">H37+H41+H45+H52+H55</f>
        <v>2914961.4</v>
      </c>
      <c r="I36" s="45">
        <f t="shared" si="36"/>
        <v>0</v>
      </c>
      <c r="J36" s="45">
        <f t="shared" ref="J36:J37" si="37">K36+L36+M36</f>
        <v>1094028.2</v>
      </c>
      <c r="K36" s="45">
        <f>K37+K41+K45+K52+K55</f>
        <v>309920</v>
      </c>
      <c r="L36" s="45">
        <f t="shared" ref="L36:M36" si="38">L37+L41+L45+L52+L55</f>
        <v>784108.2</v>
      </c>
      <c r="M36" s="45">
        <f t="shared" si="38"/>
        <v>0</v>
      </c>
      <c r="N36" s="45">
        <f t="shared" ref="N36:N37" si="39">O36+P36+Q36</f>
        <v>1266859</v>
      </c>
      <c r="O36" s="45">
        <f>O37+O41+O45+O52+O55</f>
        <v>191286.3</v>
      </c>
      <c r="P36" s="45">
        <f>P37+P41+P45+P52+P55</f>
        <v>1075572.7</v>
      </c>
      <c r="Q36" s="45">
        <f>Q37+Q41+Q45+Q52+Q55</f>
        <v>0</v>
      </c>
      <c r="R36" s="45">
        <f t="shared" ref="R36:R37" si="40">S36+T36+U36</f>
        <v>1317986.5</v>
      </c>
      <c r="S36" s="45">
        <f>S37+S41+S45+S52+S55</f>
        <v>163759.4</v>
      </c>
      <c r="T36" s="45">
        <f>T37+T41+T45+T52+T55</f>
        <v>1154227.1000000001</v>
      </c>
      <c r="U36" s="45">
        <f>U37+U41+U45+U52+U55</f>
        <v>0</v>
      </c>
      <c r="V36" s="46">
        <f t="shared" si="4"/>
        <v>0.29499999999999998</v>
      </c>
    </row>
    <row r="37" spans="1:101" ht="51.75" customHeight="1">
      <c r="A37" s="24" t="s">
        <v>34</v>
      </c>
      <c r="B37" s="47" t="s">
        <v>35</v>
      </c>
      <c r="C37" s="26" t="s">
        <v>12</v>
      </c>
      <c r="D37" s="26" t="s">
        <v>12</v>
      </c>
      <c r="E37" s="26" t="s">
        <v>12</v>
      </c>
      <c r="F37" s="28">
        <f t="shared" si="0"/>
        <v>366990.3</v>
      </c>
      <c r="G37" s="28">
        <f>SUM(G39:G40)</f>
        <v>266925.09999999998</v>
      </c>
      <c r="H37" s="28">
        <f>SUM(H39:H40)</f>
        <v>100065.2</v>
      </c>
      <c r="I37" s="28">
        <f>SUM(I39:I40)</f>
        <v>0</v>
      </c>
      <c r="J37" s="28">
        <f t="shared" si="37"/>
        <v>288000</v>
      </c>
      <c r="K37" s="28">
        <f>SUM(K39:K40)</f>
        <v>187934.8</v>
      </c>
      <c r="L37" s="28">
        <f>SUM(L39:L40)</f>
        <v>100065.2</v>
      </c>
      <c r="M37" s="28">
        <f>SUM(M39:M40)</f>
        <v>0</v>
      </c>
      <c r="N37" s="28">
        <f t="shared" si="39"/>
        <v>226690.3</v>
      </c>
      <c r="O37" s="28">
        <f>SUM(O39:O40)</f>
        <v>139352.6</v>
      </c>
      <c r="P37" s="28">
        <f>SUM(P39:P40)</f>
        <v>87337.7</v>
      </c>
      <c r="Q37" s="28">
        <f>SUM(Q39:Q40)</f>
        <v>0</v>
      </c>
      <c r="R37" s="28">
        <f t="shared" si="40"/>
        <v>226690.3</v>
      </c>
      <c r="S37" s="28">
        <f>SUM(S39:S40)</f>
        <v>121119.4</v>
      </c>
      <c r="T37" s="28">
        <f>SUM(T39:T40)</f>
        <v>105570.9</v>
      </c>
      <c r="U37" s="28">
        <f>SUM(U39:U40)</f>
        <v>0</v>
      </c>
      <c r="V37" s="38">
        <f t="shared" si="4"/>
        <v>0.78500000000000003</v>
      </c>
    </row>
    <row r="38" spans="1:101" ht="24" customHeight="1">
      <c r="A38" s="39"/>
      <c r="B38" s="40" t="s">
        <v>15</v>
      </c>
      <c r="C38" s="32"/>
      <c r="D38" s="32"/>
      <c r="E38" s="32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38"/>
    </row>
    <row r="39" spans="1:101" ht="36.75" customHeight="1">
      <c r="A39" s="39"/>
      <c r="B39" s="41" t="s">
        <v>222</v>
      </c>
      <c r="C39" s="35">
        <v>811</v>
      </c>
      <c r="D39" s="36" t="s">
        <v>17</v>
      </c>
      <c r="E39" s="35" t="s">
        <v>118</v>
      </c>
      <c r="F39" s="28">
        <f t="shared" si="0"/>
        <v>198000</v>
      </c>
      <c r="G39" s="33">
        <v>97934.8</v>
      </c>
      <c r="H39" s="33">
        <v>100065.2</v>
      </c>
      <c r="I39" s="33"/>
      <c r="J39" s="28">
        <f t="shared" ref="J39:J41" si="41">K39+L39+M39</f>
        <v>198000</v>
      </c>
      <c r="K39" s="33">
        <v>97934.8</v>
      </c>
      <c r="L39" s="33">
        <v>100065.2</v>
      </c>
      <c r="M39" s="33"/>
      <c r="N39" s="28">
        <f t="shared" ref="N39:N41" si="42">O39+P39+Q39</f>
        <v>198000</v>
      </c>
      <c r="O39" s="33">
        <v>110662.3</v>
      </c>
      <c r="P39" s="33">
        <v>87337.7</v>
      </c>
      <c r="Q39" s="33"/>
      <c r="R39" s="28">
        <f t="shared" ref="R39:R41" si="43">S39+T39+U39</f>
        <v>198000</v>
      </c>
      <c r="S39" s="33">
        <v>92429.1</v>
      </c>
      <c r="T39" s="33">
        <v>105570.9</v>
      </c>
      <c r="U39" s="33"/>
      <c r="V39" s="34">
        <f t="shared" si="4"/>
        <v>1</v>
      </c>
    </row>
    <row r="40" spans="1:101" ht="42.75" customHeight="1">
      <c r="A40" s="39"/>
      <c r="B40" s="41" t="s">
        <v>36</v>
      </c>
      <c r="C40" s="35">
        <v>811</v>
      </c>
      <c r="D40" s="36" t="s">
        <v>17</v>
      </c>
      <c r="E40" s="35" t="s">
        <v>165</v>
      </c>
      <c r="F40" s="28">
        <f t="shared" si="0"/>
        <v>168990.3</v>
      </c>
      <c r="G40" s="33">
        <v>168990.3</v>
      </c>
      <c r="H40" s="33"/>
      <c r="I40" s="33"/>
      <c r="J40" s="28">
        <f t="shared" si="41"/>
        <v>90000</v>
      </c>
      <c r="K40" s="33">
        <v>90000</v>
      </c>
      <c r="L40" s="33"/>
      <c r="M40" s="33"/>
      <c r="N40" s="28">
        <f t="shared" si="42"/>
        <v>28690.3</v>
      </c>
      <c r="O40" s="33">
        <v>28690.3</v>
      </c>
      <c r="P40" s="33"/>
      <c r="Q40" s="33"/>
      <c r="R40" s="28">
        <f t="shared" si="43"/>
        <v>28690.3</v>
      </c>
      <c r="S40" s="33">
        <v>28690.3</v>
      </c>
      <c r="T40" s="33"/>
      <c r="U40" s="33"/>
      <c r="V40" s="34">
        <f t="shared" si="4"/>
        <v>0.53300000000000003</v>
      </c>
    </row>
    <row r="41" spans="1:101" ht="33">
      <c r="A41" s="24" t="s">
        <v>37</v>
      </c>
      <c r="B41" s="48" t="s">
        <v>38</v>
      </c>
      <c r="C41" s="26" t="s">
        <v>12</v>
      </c>
      <c r="D41" s="26" t="s">
        <v>12</v>
      </c>
      <c r="E41" s="26" t="s">
        <v>12</v>
      </c>
      <c r="F41" s="28">
        <f t="shared" ref="F41:F100" si="44">G41+H41+I41</f>
        <v>177383.1</v>
      </c>
      <c r="G41" s="28">
        <f>SUM(G43:G44)</f>
        <v>1629.2</v>
      </c>
      <c r="H41" s="28">
        <f>SUM(H43:H44)</f>
        <v>175753.9</v>
      </c>
      <c r="I41" s="28">
        <f>SUM(I43:I44)</f>
        <v>0</v>
      </c>
      <c r="J41" s="28">
        <f t="shared" si="41"/>
        <v>77787.5</v>
      </c>
      <c r="K41" s="28">
        <f>SUM(K43:K44)</f>
        <v>1243.8</v>
      </c>
      <c r="L41" s="28">
        <f>SUM(L43:L44)</f>
        <v>76543.7</v>
      </c>
      <c r="M41" s="28">
        <f>SUM(M43:M44)</f>
        <v>0</v>
      </c>
      <c r="N41" s="28">
        <f t="shared" si="42"/>
        <v>120419.7</v>
      </c>
      <c r="O41" s="28">
        <f>SUM(O43:O44)</f>
        <v>1607.3</v>
      </c>
      <c r="P41" s="28">
        <f>SUM(P43:P44)</f>
        <v>118812.4</v>
      </c>
      <c r="Q41" s="28">
        <f>SUM(Q43:Q44)</f>
        <v>0</v>
      </c>
      <c r="R41" s="28">
        <f t="shared" si="43"/>
        <v>172977.9</v>
      </c>
      <c r="S41" s="28">
        <f>SUM(S43:S44)</f>
        <v>5189.3999999999996</v>
      </c>
      <c r="T41" s="28">
        <f>SUM(T43:T44)</f>
        <v>167788.5</v>
      </c>
      <c r="U41" s="28">
        <f>SUM(U43:U44)</f>
        <v>0</v>
      </c>
      <c r="V41" s="29">
        <f t="shared" ref="V41:V104" si="45">J41/F41</f>
        <v>0.439</v>
      </c>
    </row>
    <row r="42" spans="1:101" ht="18.75">
      <c r="A42" s="39"/>
      <c r="B42" s="40" t="s">
        <v>15</v>
      </c>
      <c r="C42" s="32"/>
      <c r="D42" s="32"/>
      <c r="E42" s="32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9"/>
    </row>
    <row r="43" spans="1:101" s="55" customFormat="1" ht="47.25" customHeight="1">
      <c r="A43" s="49"/>
      <c r="B43" s="50" t="s">
        <v>39</v>
      </c>
      <c r="C43" s="51">
        <v>811</v>
      </c>
      <c r="D43" s="52" t="s">
        <v>17</v>
      </c>
      <c r="E43" s="51" t="s">
        <v>119</v>
      </c>
      <c r="F43" s="67">
        <f t="shared" si="44"/>
        <v>123078.6</v>
      </c>
      <c r="G43" s="53"/>
      <c r="H43" s="53">
        <v>123078.6</v>
      </c>
      <c r="I43" s="53"/>
      <c r="J43" s="67">
        <f t="shared" ref="J43:J44" si="46">K43+L43+M43</f>
        <v>36327.699999999997</v>
      </c>
      <c r="K43" s="53"/>
      <c r="L43" s="53">
        <v>36327.699999999997</v>
      </c>
      <c r="M43" s="53"/>
      <c r="N43" s="28">
        <f t="shared" ref="N43:N44" si="47">O43+P43+Q43</f>
        <v>66844.800000000003</v>
      </c>
      <c r="O43" s="53"/>
      <c r="P43" s="53">
        <v>66844.800000000003</v>
      </c>
      <c r="Q43" s="53"/>
      <c r="R43" s="28">
        <f t="shared" ref="R43:R44" si="48">S43+T43+U43</f>
        <v>119403</v>
      </c>
      <c r="S43" s="53">
        <v>3582.1</v>
      </c>
      <c r="T43" s="53">
        <v>115820.9</v>
      </c>
      <c r="U43" s="53"/>
      <c r="V43" s="54">
        <f t="shared" si="45"/>
        <v>0.29499999999999998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</row>
    <row r="44" spans="1:101" s="55" customFormat="1" ht="75.75" customHeight="1">
      <c r="A44" s="49"/>
      <c r="B44" s="50" t="s">
        <v>121</v>
      </c>
      <c r="C44" s="51">
        <v>811</v>
      </c>
      <c r="D44" s="52" t="s">
        <v>17</v>
      </c>
      <c r="E44" s="51" t="s">
        <v>120</v>
      </c>
      <c r="F44" s="67">
        <f t="shared" si="44"/>
        <v>54304.5</v>
      </c>
      <c r="G44" s="53">
        <f>1607.3+21.9</f>
        <v>1629.2</v>
      </c>
      <c r="H44" s="53">
        <f>51967.6+707.7</f>
        <v>52675.3</v>
      </c>
      <c r="I44" s="53"/>
      <c r="J44" s="67">
        <f t="shared" si="46"/>
        <v>41459.800000000003</v>
      </c>
      <c r="K44" s="53">
        <v>1243.8</v>
      </c>
      <c r="L44" s="53">
        <v>40216</v>
      </c>
      <c r="M44" s="53"/>
      <c r="N44" s="28">
        <f t="shared" si="47"/>
        <v>53574.9</v>
      </c>
      <c r="O44" s="53">
        <v>1607.3</v>
      </c>
      <c r="P44" s="53">
        <v>51967.6</v>
      </c>
      <c r="Q44" s="53"/>
      <c r="R44" s="28">
        <f t="shared" si="48"/>
        <v>53574.9</v>
      </c>
      <c r="S44" s="53">
        <v>1607.3</v>
      </c>
      <c r="T44" s="53">
        <v>51967.6</v>
      </c>
      <c r="U44" s="53"/>
      <c r="V44" s="54">
        <f t="shared" si="45"/>
        <v>0.76300000000000001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</row>
    <row r="45" spans="1:101" s="8" customFormat="1" ht="39.75" customHeight="1">
      <c r="A45" s="24" t="s">
        <v>40</v>
      </c>
      <c r="B45" s="47" t="s">
        <v>43</v>
      </c>
      <c r="C45" s="26" t="s">
        <v>12</v>
      </c>
      <c r="D45" s="26" t="s">
        <v>12</v>
      </c>
      <c r="E45" s="26" t="s">
        <v>12</v>
      </c>
      <c r="F45" s="28">
        <f t="shared" si="44"/>
        <v>1900413.9</v>
      </c>
      <c r="G45" s="28">
        <f>SUM(G47:G51)</f>
        <v>458449.7</v>
      </c>
      <c r="H45" s="28">
        <f t="shared" ref="H45:I45" si="49">SUM(H47:H51)</f>
        <v>1441964.2</v>
      </c>
      <c r="I45" s="28">
        <f t="shared" si="49"/>
        <v>0</v>
      </c>
      <c r="J45" s="28">
        <f t="shared" ref="J45" si="50">K45+L45+M45</f>
        <v>522740.2</v>
      </c>
      <c r="K45" s="28">
        <f>SUM(K47:K51)</f>
        <v>110970.8</v>
      </c>
      <c r="L45" s="28">
        <f t="shared" ref="L45:M45" si="51">SUM(L47:L51)</f>
        <v>411769.4</v>
      </c>
      <c r="M45" s="28">
        <f t="shared" si="51"/>
        <v>0</v>
      </c>
      <c r="N45" s="28">
        <f t="shared" ref="N45" si="52">O45+P45+Q45</f>
        <v>54940.6</v>
      </c>
      <c r="O45" s="28">
        <f>SUM(O47:O51)</f>
        <v>0</v>
      </c>
      <c r="P45" s="28">
        <f t="shared" ref="P45:Q45" si="53">SUM(P47:P51)</f>
        <v>54940.6</v>
      </c>
      <c r="Q45" s="28">
        <f t="shared" si="53"/>
        <v>0</v>
      </c>
      <c r="R45" s="28">
        <f t="shared" ref="R45" si="54">S45+T45+U45</f>
        <v>64076.800000000003</v>
      </c>
      <c r="S45" s="28">
        <f>SUM(S47:S51)</f>
        <v>1922.3</v>
      </c>
      <c r="T45" s="28">
        <f>SUM(T47:T51)</f>
        <v>62154.5</v>
      </c>
      <c r="U45" s="28">
        <f t="shared" ref="U45" si="55">SUM(U47:U51)</f>
        <v>0</v>
      </c>
      <c r="V45" s="29">
        <f>J45/F45</f>
        <v>0.27500000000000002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</row>
    <row r="46" spans="1:101" ht="18.75">
      <c r="A46" s="39"/>
      <c r="B46" s="40" t="s">
        <v>15</v>
      </c>
      <c r="C46" s="32"/>
      <c r="D46" s="32"/>
      <c r="E46" s="32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9"/>
    </row>
    <row r="47" spans="1:101" ht="57" customHeight="1">
      <c r="A47" s="39"/>
      <c r="B47" s="41" t="s">
        <v>122</v>
      </c>
      <c r="C47" s="35" t="s">
        <v>257</v>
      </c>
      <c r="D47" s="36" t="s">
        <v>17</v>
      </c>
      <c r="E47" s="35" t="s">
        <v>123</v>
      </c>
      <c r="F47" s="28">
        <f t="shared" si="44"/>
        <v>211277.1</v>
      </c>
      <c r="G47" s="33">
        <v>0</v>
      </c>
      <c r="H47" s="33">
        <v>211277.1</v>
      </c>
      <c r="I47" s="33"/>
      <c r="J47" s="28">
        <f t="shared" ref="J47:J52" si="56">K47+L47+M47</f>
        <v>0</v>
      </c>
      <c r="K47" s="33"/>
      <c r="L47" s="33"/>
      <c r="M47" s="33"/>
      <c r="N47" s="28">
        <f t="shared" ref="N47:N52" si="57">O47+P47+Q47</f>
        <v>54940.6</v>
      </c>
      <c r="O47" s="33">
        <v>0</v>
      </c>
      <c r="P47" s="33">
        <v>54940.6</v>
      </c>
      <c r="Q47" s="33"/>
      <c r="R47" s="28">
        <f t="shared" ref="R47:R52" si="58">S47+T47+U47</f>
        <v>64076.800000000003</v>
      </c>
      <c r="S47" s="33">
        <v>1922.3</v>
      </c>
      <c r="T47" s="33">
        <v>62154.5</v>
      </c>
      <c r="U47" s="33"/>
      <c r="V47" s="34">
        <f t="shared" si="45"/>
        <v>0</v>
      </c>
    </row>
    <row r="48" spans="1:101" ht="48" customHeight="1">
      <c r="A48" s="39"/>
      <c r="B48" s="41" t="s">
        <v>344</v>
      </c>
      <c r="C48" s="35">
        <v>821</v>
      </c>
      <c r="D48" s="36" t="s">
        <v>19</v>
      </c>
      <c r="E48" s="35" t="s">
        <v>343</v>
      </c>
      <c r="F48" s="28">
        <f t="shared" ref="F48:F50" si="59">G48+H48+I48</f>
        <v>1551358.9</v>
      </c>
      <c r="G48" s="33">
        <f>320671.8</f>
        <v>320671.8</v>
      </c>
      <c r="H48" s="33">
        <v>1230687.1000000001</v>
      </c>
      <c r="I48" s="33"/>
      <c r="J48" s="28">
        <f t="shared" ref="J48:J50" si="60">K48+L48+M48</f>
        <v>519061.4</v>
      </c>
      <c r="K48" s="33">
        <v>107292</v>
      </c>
      <c r="L48" s="33">
        <v>411769.4</v>
      </c>
      <c r="M48" s="33"/>
      <c r="N48" s="28">
        <f t="shared" ref="N48:N50" si="61">O48+P48+Q48</f>
        <v>0</v>
      </c>
      <c r="O48" s="33"/>
      <c r="P48" s="33"/>
      <c r="Q48" s="33"/>
      <c r="R48" s="28">
        <f t="shared" ref="R48:R50" si="62">S48+T48+U48</f>
        <v>0</v>
      </c>
      <c r="S48" s="33"/>
      <c r="T48" s="33"/>
      <c r="U48" s="33"/>
      <c r="V48" s="34">
        <f t="shared" ref="V48:V50" si="63">J48/F48</f>
        <v>0.33500000000000002</v>
      </c>
    </row>
    <row r="49" spans="1:101" ht="48" customHeight="1">
      <c r="A49" s="39"/>
      <c r="B49" s="41" t="s">
        <v>344</v>
      </c>
      <c r="C49" s="35" t="s">
        <v>257</v>
      </c>
      <c r="D49" s="36" t="s">
        <v>17</v>
      </c>
      <c r="E49" s="35" t="s">
        <v>343</v>
      </c>
      <c r="F49" s="28">
        <f t="shared" si="59"/>
        <v>0</v>
      </c>
      <c r="G49" s="33"/>
      <c r="H49" s="33"/>
      <c r="I49" s="33"/>
      <c r="J49" s="28">
        <f t="shared" si="60"/>
        <v>0</v>
      </c>
      <c r="K49" s="33"/>
      <c r="L49" s="33"/>
      <c r="M49" s="33"/>
      <c r="N49" s="28">
        <f t="shared" si="61"/>
        <v>0</v>
      </c>
      <c r="O49" s="33"/>
      <c r="P49" s="33"/>
      <c r="Q49" s="33"/>
      <c r="R49" s="28">
        <f t="shared" si="62"/>
        <v>0</v>
      </c>
      <c r="S49" s="33"/>
      <c r="T49" s="33"/>
      <c r="U49" s="33"/>
      <c r="V49" s="34" t="e">
        <f t="shared" si="63"/>
        <v>#DIV/0!</v>
      </c>
    </row>
    <row r="50" spans="1:101" ht="48" customHeight="1">
      <c r="A50" s="39"/>
      <c r="B50" s="41" t="s">
        <v>348</v>
      </c>
      <c r="C50" s="35" t="s">
        <v>257</v>
      </c>
      <c r="D50" s="36" t="s">
        <v>17</v>
      </c>
      <c r="E50" s="35" t="s">
        <v>349</v>
      </c>
      <c r="F50" s="28">
        <f t="shared" si="59"/>
        <v>126807.8</v>
      </c>
      <c r="G50" s="33">
        <v>126807.8</v>
      </c>
      <c r="H50" s="33"/>
      <c r="I50" s="33"/>
      <c r="J50" s="28">
        <f t="shared" si="60"/>
        <v>0</v>
      </c>
      <c r="K50" s="33"/>
      <c r="L50" s="33"/>
      <c r="M50" s="33"/>
      <c r="N50" s="28">
        <f t="shared" si="61"/>
        <v>0</v>
      </c>
      <c r="O50" s="33"/>
      <c r="P50" s="33"/>
      <c r="Q50" s="33"/>
      <c r="R50" s="28">
        <f t="shared" si="62"/>
        <v>0</v>
      </c>
      <c r="S50" s="33"/>
      <c r="T50" s="33"/>
      <c r="U50" s="33"/>
      <c r="V50" s="34">
        <f t="shared" si="63"/>
        <v>0</v>
      </c>
    </row>
    <row r="51" spans="1:101" ht="53.25" customHeight="1">
      <c r="A51" s="39"/>
      <c r="B51" s="41" t="s">
        <v>348</v>
      </c>
      <c r="C51" s="35">
        <v>821</v>
      </c>
      <c r="D51" s="36" t="s">
        <v>19</v>
      </c>
      <c r="E51" s="35" t="s">
        <v>349</v>
      </c>
      <c r="F51" s="28">
        <f t="shared" ref="F51" si="64">G51+H51+I51</f>
        <v>10970.1</v>
      </c>
      <c r="G51" s="33">
        <v>10970.1</v>
      </c>
      <c r="H51" s="33"/>
      <c r="I51" s="33"/>
      <c r="J51" s="28">
        <f t="shared" ref="J51" si="65">K51+L51+M51</f>
        <v>3678.8</v>
      </c>
      <c r="K51" s="33">
        <v>3678.8</v>
      </c>
      <c r="L51" s="33"/>
      <c r="M51" s="33"/>
      <c r="N51" s="28">
        <f t="shared" ref="N51" si="66">O51+P51+Q51</f>
        <v>0</v>
      </c>
      <c r="O51" s="33"/>
      <c r="P51" s="33"/>
      <c r="Q51" s="33"/>
      <c r="R51" s="28">
        <f t="shared" ref="R51" si="67">S51+T51+U51</f>
        <v>0</v>
      </c>
      <c r="S51" s="33"/>
      <c r="T51" s="33"/>
      <c r="U51" s="33"/>
      <c r="V51" s="34">
        <f t="shared" ref="V51" si="68">J51/F51</f>
        <v>0.33500000000000002</v>
      </c>
    </row>
    <row r="52" spans="1:101" s="8" customFormat="1" ht="72.75" customHeight="1">
      <c r="A52" s="56" t="s">
        <v>41</v>
      </c>
      <c r="B52" s="48" t="s">
        <v>260</v>
      </c>
      <c r="C52" s="26" t="s">
        <v>12</v>
      </c>
      <c r="D52" s="26" t="s">
        <v>12</v>
      </c>
      <c r="E52" s="26" t="s">
        <v>12</v>
      </c>
      <c r="F52" s="28">
        <f>G52+H52+I52</f>
        <v>77368.899999999994</v>
      </c>
      <c r="G52" s="28">
        <f>SUM(G54)</f>
        <v>17669.400000000001</v>
      </c>
      <c r="H52" s="28">
        <f t="shared" ref="H52:I52" si="69">SUM(H54)</f>
        <v>59699.5</v>
      </c>
      <c r="I52" s="28">
        <f t="shared" si="69"/>
        <v>0</v>
      </c>
      <c r="J52" s="28">
        <f t="shared" si="56"/>
        <v>5821.4</v>
      </c>
      <c r="K52" s="28">
        <f>K54</f>
        <v>1329.5</v>
      </c>
      <c r="L52" s="28">
        <f>L54</f>
        <v>4491.8999999999996</v>
      </c>
      <c r="M52" s="28">
        <f t="shared" ref="M52" si="70">SUM(M54:M65)</f>
        <v>0</v>
      </c>
      <c r="N52" s="28">
        <f t="shared" si="57"/>
        <v>58091.1</v>
      </c>
      <c r="O52" s="28">
        <f>SUM(O54)</f>
        <v>16223.8</v>
      </c>
      <c r="P52" s="28">
        <f>SUM(P54)</f>
        <v>41867.300000000003</v>
      </c>
      <c r="Q52" s="28">
        <f t="shared" ref="Q52" si="71">SUM(Q54:Q65)</f>
        <v>0</v>
      </c>
      <c r="R52" s="28">
        <f t="shared" si="58"/>
        <v>47524.2</v>
      </c>
      <c r="S52" s="28">
        <f>SUM(S54)</f>
        <v>1425.7</v>
      </c>
      <c r="T52" s="28">
        <f>SUM(T54)</f>
        <v>46098.5</v>
      </c>
      <c r="U52" s="28">
        <f t="shared" ref="U52" si="72">SUM(U54:U65)</f>
        <v>0</v>
      </c>
      <c r="V52" s="29">
        <f t="shared" si="45"/>
        <v>7.4999999999999997E-2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</row>
    <row r="53" spans="1:101" ht="22.5" customHeight="1">
      <c r="A53" s="14"/>
      <c r="B53" s="40" t="s">
        <v>15</v>
      </c>
      <c r="C53" s="32"/>
      <c r="D53" s="32"/>
      <c r="E53" s="32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9"/>
    </row>
    <row r="54" spans="1:101" ht="72.75" customHeight="1">
      <c r="A54" s="11"/>
      <c r="B54" s="41" t="s">
        <v>42</v>
      </c>
      <c r="C54" s="35" t="s">
        <v>257</v>
      </c>
      <c r="D54" s="36" t="s">
        <v>17</v>
      </c>
      <c r="E54" s="35" t="s">
        <v>124</v>
      </c>
      <c r="F54" s="28">
        <f t="shared" si="44"/>
        <v>77368.899999999994</v>
      </c>
      <c r="G54" s="33">
        <v>17669.400000000001</v>
      </c>
      <c r="H54" s="33">
        <v>59699.5</v>
      </c>
      <c r="I54" s="33"/>
      <c r="J54" s="28">
        <f t="shared" ref="J54:J67" si="73">K54+L54+M54</f>
        <v>5821.4</v>
      </c>
      <c r="K54" s="33">
        <v>1329.5</v>
      </c>
      <c r="L54" s="33">
        <v>4491.8999999999996</v>
      </c>
      <c r="M54" s="33"/>
      <c r="N54" s="28">
        <f t="shared" ref="N54:N66" si="74">O54+P54+Q54</f>
        <v>58091.1</v>
      </c>
      <c r="O54" s="33">
        <v>16223.8</v>
      </c>
      <c r="P54" s="33">
        <v>41867.300000000003</v>
      </c>
      <c r="Q54" s="33"/>
      <c r="R54" s="28">
        <f t="shared" ref="R54:R66" si="75">S54+T54+U54</f>
        <v>47524.2</v>
      </c>
      <c r="S54" s="33">
        <v>1425.7</v>
      </c>
      <c r="T54" s="33">
        <v>46098.5</v>
      </c>
      <c r="U54" s="33"/>
      <c r="V54" s="34">
        <f t="shared" si="45"/>
        <v>7.4999999999999997E-2</v>
      </c>
    </row>
    <row r="55" spans="1:101" ht="46.5" customHeight="1">
      <c r="A55" s="11" t="s">
        <v>261</v>
      </c>
      <c r="B55" s="48" t="s">
        <v>262</v>
      </c>
      <c r="C55" s="35" t="s">
        <v>12</v>
      </c>
      <c r="D55" s="36" t="s">
        <v>12</v>
      </c>
      <c r="E55" s="35" t="s">
        <v>12</v>
      </c>
      <c r="F55" s="28">
        <f>G55+H55+I55</f>
        <v>1190884.8</v>
      </c>
      <c r="G55" s="28">
        <f>SUM(G57:G65)</f>
        <v>53406.2</v>
      </c>
      <c r="H55" s="28">
        <f t="shared" ref="H55:I55" si="76">SUM(H57:H65)</f>
        <v>1137478.6000000001</v>
      </c>
      <c r="I55" s="28">
        <f t="shared" si="76"/>
        <v>0</v>
      </c>
      <c r="J55" s="28">
        <f>K55+L55+M55</f>
        <v>199679.1</v>
      </c>
      <c r="K55" s="28">
        <f>SUM(K57:K65)</f>
        <v>8441.1</v>
      </c>
      <c r="L55" s="28">
        <f t="shared" ref="L55:M55" si="77">SUM(L57:L65)</f>
        <v>191238</v>
      </c>
      <c r="M55" s="28">
        <f t="shared" si="77"/>
        <v>0</v>
      </c>
      <c r="N55" s="28">
        <f>O55+P55+Q55</f>
        <v>806717.3</v>
      </c>
      <c r="O55" s="28">
        <f>SUM(O57:O65)</f>
        <v>34102.6</v>
      </c>
      <c r="P55" s="28">
        <f t="shared" ref="P55:Q55" si="78">SUM(P57:P65)</f>
        <v>772614.7</v>
      </c>
      <c r="Q55" s="28">
        <f t="shared" si="78"/>
        <v>0</v>
      </c>
      <c r="R55" s="28">
        <f>S55+T55+U55</f>
        <v>806717.3</v>
      </c>
      <c r="S55" s="28">
        <f>SUM(S57:S65)</f>
        <v>34102.6</v>
      </c>
      <c r="T55" s="28">
        <f t="shared" ref="T55:U55" si="79">SUM(T57:T65)</f>
        <v>772614.7</v>
      </c>
      <c r="U55" s="28">
        <f t="shared" si="79"/>
        <v>0</v>
      </c>
      <c r="V55" s="34">
        <f t="shared" si="45"/>
        <v>0.16800000000000001</v>
      </c>
    </row>
    <row r="56" spans="1:101" ht="22.5" customHeight="1">
      <c r="A56" s="11"/>
      <c r="B56" s="40" t="s">
        <v>15</v>
      </c>
      <c r="C56" s="35"/>
      <c r="D56" s="36"/>
      <c r="E56" s="35"/>
      <c r="F56" s="28"/>
      <c r="G56" s="33"/>
      <c r="H56" s="33"/>
      <c r="I56" s="33"/>
      <c r="J56" s="28"/>
      <c r="K56" s="33"/>
      <c r="L56" s="33"/>
      <c r="M56" s="33"/>
      <c r="N56" s="28"/>
      <c r="O56" s="33"/>
      <c r="P56" s="33"/>
      <c r="Q56" s="33"/>
      <c r="R56" s="28"/>
      <c r="S56" s="33"/>
      <c r="T56" s="33"/>
      <c r="U56" s="33"/>
      <c r="V56" s="34"/>
    </row>
    <row r="57" spans="1:101" ht="60" customHeight="1">
      <c r="A57" s="24"/>
      <c r="B57" s="41" t="s">
        <v>268</v>
      </c>
      <c r="C57" s="35" t="s">
        <v>258</v>
      </c>
      <c r="D57" s="36" t="s">
        <v>19</v>
      </c>
      <c r="E57" s="36" t="s">
        <v>263</v>
      </c>
      <c r="F57" s="28">
        <f>G57+H57+I57</f>
        <v>243378.5</v>
      </c>
      <c r="G57" s="33">
        <f>8169.9+5779.4-3263.2-397.7</f>
        <v>10288.4</v>
      </c>
      <c r="H57" s="33">
        <f>185092.6-73927.1+130935.7-9011.1</f>
        <v>233090.1</v>
      </c>
      <c r="I57" s="33"/>
      <c r="J57" s="28">
        <f t="shared" si="73"/>
        <v>28962.799999999999</v>
      </c>
      <c r="K57" s="33">
        <v>1224.3</v>
      </c>
      <c r="L57" s="33">
        <v>27738.5</v>
      </c>
      <c r="M57" s="33"/>
      <c r="N57" s="28">
        <f t="shared" si="74"/>
        <v>146767</v>
      </c>
      <c r="O57" s="33">
        <f>4286.6+432.5+1485.2</f>
        <v>6204.3</v>
      </c>
      <c r="P57" s="33">
        <f>97115.4+9799.1+33648.2</f>
        <v>140562.70000000001</v>
      </c>
      <c r="Q57" s="33"/>
      <c r="R57" s="28">
        <f t="shared" si="75"/>
        <v>142053.9</v>
      </c>
      <c r="S57" s="33">
        <f>7490.3-1485.2</f>
        <v>6005.1</v>
      </c>
      <c r="T57" s="33">
        <f>169697-33648.2</f>
        <v>136048.79999999999</v>
      </c>
      <c r="U57" s="33"/>
      <c r="V57" s="34">
        <f t="shared" si="45"/>
        <v>0.11899999999999999</v>
      </c>
    </row>
    <row r="58" spans="1:101" ht="63.75" customHeight="1">
      <c r="A58" s="24"/>
      <c r="B58" s="41" t="s">
        <v>268</v>
      </c>
      <c r="C58" s="35" t="s">
        <v>273</v>
      </c>
      <c r="D58" s="36" t="s">
        <v>146</v>
      </c>
      <c r="E58" s="35" t="s">
        <v>263</v>
      </c>
      <c r="F58" s="28">
        <f t="shared" ref="F58:F61" si="80">G58+H58+I58</f>
        <v>0</v>
      </c>
      <c r="G58" s="33">
        <v>0</v>
      </c>
      <c r="H58" s="33">
        <v>0</v>
      </c>
      <c r="I58" s="33"/>
      <c r="J58" s="28">
        <f t="shared" si="73"/>
        <v>0</v>
      </c>
      <c r="K58" s="33"/>
      <c r="L58" s="33"/>
      <c r="M58" s="33"/>
      <c r="N58" s="28">
        <f t="shared" si="74"/>
        <v>39933.4</v>
      </c>
      <c r="O58" s="33">
        <f>6061.8-4373.7</f>
        <v>1688.1</v>
      </c>
      <c r="P58" s="33">
        <f>137335-99089.7</f>
        <v>38245.300000000003</v>
      </c>
      <c r="Q58" s="33"/>
      <c r="R58" s="28">
        <f t="shared" si="75"/>
        <v>103463.4</v>
      </c>
      <c r="S58" s="33">
        <v>4373.7</v>
      </c>
      <c r="T58" s="33">
        <v>99089.7</v>
      </c>
      <c r="U58" s="33"/>
      <c r="V58" s="34" t="e">
        <f t="shared" si="45"/>
        <v>#DIV/0!</v>
      </c>
    </row>
    <row r="59" spans="1:101" ht="75" customHeight="1">
      <c r="A59" s="24"/>
      <c r="B59" s="41" t="s">
        <v>269</v>
      </c>
      <c r="C59" s="35" t="s">
        <v>257</v>
      </c>
      <c r="D59" s="36" t="s">
        <v>17</v>
      </c>
      <c r="E59" s="35" t="s">
        <v>264</v>
      </c>
      <c r="F59" s="28">
        <f t="shared" si="80"/>
        <v>50201.2</v>
      </c>
      <c r="G59" s="33">
        <f>1108.4+1013.8</f>
        <v>2122.1999999999998</v>
      </c>
      <c r="H59" s="33">
        <f>25110.5+0.2+22968.3</f>
        <v>48079</v>
      </c>
      <c r="I59" s="33"/>
      <c r="J59" s="28">
        <f t="shared" si="73"/>
        <v>36030</v>
      </c>
      <c r="K59" s="33">
        <v>1523.1</v>
      </c>
      <c r="L59" s="33">
        <v>34506.9</v>
      </c>
      <c r="M59" s="33"/>
      <c r="N59" s="28">
        <f t="shared" si="74"/>
        <v>26908.1</v>
      </c>
      <c r="O59" s="33">
        <v>1137.5</v>
      </c>
      <c r="P59" s="33">
        <v>25770.6</v>
      </c>
      <c r="Q59" s="33"/>
      <c r="R59" s="28">
        <f t="shared" si="75"/>
        <v>28509.1</v>
      </c>
      <c r="S59" s="33">
        <v>1205.2</v>
      </c>
      <c r="T59" s="33">
        <v>27303.9</v>
      </c>
      <c r="U59" s="33"/>
      <c r="V59" s="34">
        <f t="shared" si="45"/>
        <v>0.71799999999999997</v>
      </c>
    </row>
    <row r="60" spans="1:101" ht="125.25" customHeight="1">
      <c r="A60" s="24"/>
      <c r="B60" s="41" t="s">
        <v>270</v>
      </c>
      <c r="C60" s="35" t="s">
        <v>257</v>
      </c>
      <c r="D60" s="36" t="s">
        <v>17</v>
      </c>
      <c r="E60" s="35" t="s">
        <v>265</v>
      </c>
      <c r="F60" s="28">
        <f t="shared" si="80"/>
        <v>178221.3</v>
      </c>
      <c r="G60" s="33">
        <v>8517.7999999999993</v>
      </c>
      <c r="H60" s="33">
        <f>118219.3+51484.2</f>
        <v>169703.5</v>
      </c>
      <c r="I60" s="33"/>
      <c r="J60" s="28">
        <f t="shared" si="73"/>
        <v>8330.7999999999993</v>
      </c>
      <c r="K60" s="33">
        <v>352.2</v>
      </c>
      <c r="L60" s="33">
        <v>7978.6</v>
      </c>
      <c r="M60" s="33"/>
      <c r="N60" s="28">
        <f t="shared" si="74"/>
        <v>153197.6</v>
      </c>
      <c r="O60" s="33">
        <f>6476.1+0.1</f>
        <v>6476.2</v>
      </c>
      <c r="P60" s="33">
        <v>146721.4</v>
      </c>
      <c r="Q60" s="33"/>
      <c r="R60" s="28">
        <f t="shared" si="75"/>
        <v>0</v>
      </c>
      <c r="S60" s="33">
        <v>0</v>
      </c>
      <c r="T60" s="33">
        <v>0</v>
      </c>
      <c r="U60" s="33"/>
      <c r="V60" s="34">
        <f t="shared" si="45"/>
        <v>4.7E-2</v>
      </c>
    </row>
    <row r="61" spans="1:101" ht="152.25" customHeight="1">
      <c r="A61" s="24"/>
      <c r="B61" s="41" t="s">
        <v>271</v>
      </c>
      <c r="C61" s="35" t="s">
        <v>257</v>
      </c>
      <c r="D61" s="36" t="s">
        <v>17</v>
      </c>
      <c r="E61" s="35" t="s">
        <v>266</v>
      </c>
      <c r="F61" s="28">
        <f t="shared" si="80"/>
        <v>157757</v>
      </c>
      <c r="G61" s="33">
        <v>8106.2</v>
      </c>
      <c r="H61" s="33">
        <f>133408.9+16241.9</f>
        <v>149650.79999999999</v>
      </c>
      <c r="I61" s="33"/>
      <c r="J61" s="28">
        <f t="shared" si="73"/>
        <v>33552.6</v>
      </c>
      <c r="K61" s="33">
        <v>1418.4</v>
      </c>
      <c r="L61" s="33">
        <v>32134.2</v>
      </c>
      <c r="M61" s="33"/>
      <c r="N61" s="28">
        <f t="shared" si="74"/>
        <v>0</v>
      </c>
      <c r="O61" s="33">
        <v>0</v>
      </c>
      <c r="P61" s="33">
        <v>0</v>
      </c>
      <c r="Q61" s="33"/>
      <c r="R61" s="28">
        <f t="shared" si="75"/>
        <v>0</v>
      </c>
      <c r="S61" s="33">
        <v>0</v>
      </c>
      <c r="T61" s="33">
        <v>0</v>
      </c>
      <c r="U61" s="33"/>
      <c r="V61" s="34">
        <f t="shared" si="45"/>
        <v>0.21299999999999999</v>
      </c>
    </row>
    <row r="62" spans="1:101" ht="77.25" customHeight="1">
      <c r="A62" s="24"/>
      <c r="B62" s="41" t="s">
        <v>346</v>
      </c>
      <c r="C62" s="35">
        <v>811</v>
      </c>
      <c r="D62" s="36" t="s">
        <v>17</v>
      </c>
      <c r="E62" s="35" t="s">
        <v>345</v>
      </c>
      <c r="F62" s="28">
        <f t="shared" ref="F62:F63" si="81">G62+H62+I62</f>
        <v>50000</v>
      </c>
      <c r="G62" s="33">
        <v>2113.6999999999998</v>
      </c>
      <c r="H62" s="33">
        <v>47886.34</v>
      </c>
      <c r="I62" s="33"/>
      <c r="J62" s="28">
        <f t="shared" ref="J62:J63" si="82">K62+L62+M62</f>
        <v>0</v>
      </c>
      <c r="K62" s="33"/>
      <c r="L62" s="33"/>
      <c r="M62" s="33"/>
      <c r="N62" s="28">
        <f t="shared" ref="N62:N63" si="83">O62+P62+Q62</f>
        <v>0</v>
      </c>
      <c r="O62" s="33">
        <v>0</v>
      </c>
      <c r="P62" s="33">
        <v>0</v>
      </c>
      <c r="Q62" s="33"/>
      <c r="R62" s="28">
        <f t="shared" ref="R62:R63" si="84">S62+T62+U62</f>
        <v>0</v>
      </c>
      <c r="S62" s="33">
        <v>0</v>
      </c>
      <c r="T62" s="33">
        <v>0</v>
      </c>
      <c r="U62" s="33"/>
      <c r="V62" s="34">
        <f t="shared" ref="V62:V63" si="85">J62/F62</f>
        <v>0</v>
      </c>
    </row>
    <row r="63" spans="1:101" ht="77.25" customHeight="1">
      <c r="A63" s="24"/>
      <c r="B63" s="41" t="s">
        <v>371</v>
      </c>
      <c r="C63" s="35" t="s">
        <v>258</v>
      </c>
      <c r="D63" s="36" t="s">
        <v>19</v>
      </c>
      <c r="E63" s="35" t="s">
        <v>370</v>
      </c>
      <c r="F63" s="28">
        <f t="shared" si="81"/>
        <v>670.8</v>
      </c>
      <c r="G63" s="33">
        <v>670.75</v>
      </c>
      <c r="H63" s="33"/>
      <c r="I63" s="33"/>
      <c r="J63" s="28">
        <f t="shared" si="82"/>
        <v>0</v>
      </c>
      <c r="K63" s="33"/>
      <c r="L63" s="33"/>
      <c r="M63" s="33"/>
      <c r="N63" s="28">
        <f t="shared" si="83"/>
        <v>0</v>
      </c>
      <c r="O63" s="33"/>
      <c r="P63" s="33"/>
      <c r="Q63" s="33"/>
      <c r="R63" s="28">
        <f t="shared" si="84"/>
        <v>0</v>
      </c>
      <c r="S63" s="33"/>
      <c r="T63" s="33"/>
      <c r="U63" s="33"/>
      <c r="V63" s="34">
        <f t="shared" si="85"/>
        <v>0</v>
      </c>
    </row>
    <row r="64" spans="1:101" ht="49.5" customHeight="1">
      <c r="A64" s="24"/>
      <c r="B64" s="41" t="s">
        <v>272</v>
      </c>
      <c r="C64" s="35">
        <v>811</v>
      </c>
      <c r="D64" s="36" t="s">
        <v>17</v>
      </c>
      <c r="E64" s="35" t="s">
        <v>267</v>
      </c>
      <c r="F64" s="28">
        <f>G64+H64+I64</f>
        <v>44080.3</v>
      </c>
      <c r="G64" s="33">
        <v>1863.4</v>
      </c>
      <c r="H64" s="33">
        <f>42216.9</f>
        <v>42216.9</v>
      </c>
      <c r="I64" s="33"/>
      <c r="J64" s="28">
        <f t="shared" ref="J64" si="86">K64+L64+M64</f>
        <v>0</v>
      </c>
      <c r="K64" s="33"/>
      <c r="L64" s="33"/>
      <c r="M64" s="33"/>
      <c r="N64" s="28">
        <f t="shared" ref="N64" si="87">O64+P64+Q64</f>
        <v>0</v>
      </c>
      <c r="O64" s="33"/>
      <c r="P64" s="33"/>
      <c r="Q64" s="33"/>
      <c r="R64" s="28">
        <f t="shared" ref="R64" si="88">S64+T64+U64</f>
        <v>0</v>
      </c>
      <c r="S64" s="33"/>
      <c r="T64" s="33"/>
      <c r="U64" s="33"/>
      <c r="V64" s="34">
        <f t="shared" ref="V64" si="89">J64/F64</f>
        <v>0</v>
      </c>
    </row>
    <row r="65" spans="1:22" ht="69" customHeight="1">
      <c r="A65" s="24"/>
      <c r="B65" s="41" t="s">
        <v>272</v>
      </c>
      <c r="C65" s="35" t="s">
        <v>258</v>
      </c>
      <c r="D65" s="36" t="s">
        <v>19</v>
      </c>
      <c r="E65" s="35" t="s">
        <v>267</v>
      </c>
      <c r="F65" s="28">
        <f>G65+H65+I65</f>
        <v>466575.7</v>
      </c>
      <c r="G65" s="33">
        <f>13717.7+8461.98+432.5-2888.5</f>
        <v>19723.7</v>
      </c>
      <c r="H65" s="33">
        <f>310783.4-42216.92+9798.8+233928.2-65441.5</f>
        <v>446852</v>
      </c>
      <c r="I65" s="33"/>
      <c r="J65" s="28">
        <f t="shared" si="73"/>
        <v>92802.9</v>
      </c>
      <c r="K65" s="33">
        <v>3923.1</v>
      </c>
      <c r="L65" s="33">
        <v>88879.8</v>
      </c>
      <c r="M65" s="33"/>
      <c r="N65" s="28">
        <f t="shared" si="74"/>
        <v>439911.2</v>
      </c>
      <c r="O65" s="33">
        <f>16140.5-432.5+2888.5</f>
        <v>18596.5</v>
      </c>
      <c r="P65" s="33">
        <f>355873.2+65441.5</f>
        <v>421314.7</v>
      </c>
      <c r="Q65" s="33"/>
      <c r="R65" s="28">
        <f t="shared" si="75"/>
        <v>532690.9</v>
      </c>
      <c r="S65" s="33">
        <f>25407.1-2888.5</f>
        <v>22518.6</v>
      </c>
      <c r="T65" s="33">
        <f>575613.8-65441.5</f>
        <v>510172.3</v>
      </c>
      <c r="U65" s="33"/>
      <c r="V65" s="34">
        <f t="shared" si="45"/>
        <v>0.19900000000000001</v>
      </c>
    </row>
    <row r="66" spans="1:22" ht="24" customHeight="1">
      <c r="A66" s="19" t="s">
        <v>44</v>
      </c>
      <c r="B66" s="20" t="s">
        <v>45</v>
      </c>
      <c r="C66" s="44" t="s">
        <v>12</v>
      </c>
      <c r="D66" s="44" t="s">
        <v>12</v>
      </c>
      <c r="E66" s="44" t="s">
        <v>12</v>
      </c>
      <c r="F66" s="45">
        <f t="shared" si="44"/>
        <v>1820337.5</v>
      </c>
      <c r="G66" s="45">
        <f>G67+G83+G90+G98+G101</f>
        <v>754542.5</v>
      </c>
      <c r="H66" s="45">
        <f>H67+H83+H90+H98+H101</f>
        <v>1039850.1</v>
      </c>
      <c r="I66" s="45">
        <f t="shared" ref="I66" si="90">I67+I83+I90+I98+I101</f>
        <v>25944.9</v>
      </c>
      <c r="J66" s="45">
        <f t="shared" si="73"/>
        <v>525382.5</v>
      </c>
      <c r="K66" s="45">
        <f>K67+K83+K90+K98+K101</f>
        <v>137459.4</v>
      </c>
      <c r="L66" s="45">
        <f t="shared" ref="L66:M66" si="91">L67+L83+L90+L98+L101</f>
        <v>387614.7</v>
      </c>
      <c r="M66" s="45">
        <f t="shared" si="91"/>
        <v>308.39999999999998</v>
      </c>
      <c r="N66" s="45">
        <f t="shared" si="74"/>
        <v>839538</v>
      </c>
      <c r="O66" s="45">
        <f>O67+O83+O90+O98+O101</f>
        <v>274284.79999999999</v>
      </c>
      <c r="P66" s="45">
        <f t="shared" ref="P66:Q66" si="92">P67+P83+P90+P98+P101</f>
        <v>565253.19999999995</v>
      </c>
      <c r="Q66" s="45">
        <f t="shared" si="92"/>
        <v>0</v>
      </c>
      <c r="R66" s="45">
        <f t="shared" si="75"/>
        <v>1053173.8</v>
      </c>
      <c r="S66" s="45">
        <f>S67+S83+S90+S98+S101</f>
        <v>41075.1</v>
      </c>
      <c r="T66" s="45">
        <f t="shared" ref="T66:U66" si="93">T67+T83+T90+T98+T101</f>
        <v>1012098.7</v>
      </c>
      <c r="U66" s="45">
        <f t="shared" si="93"/>
        <v>0</v>
      </c>
      <c r="V66" s="46">
        <f t="shared" si="45"/>
        <v>0.28899999999999998</v>
      </c>
    </row>
    <row r="67" spans="1:22" ht="42.75" customHeight="1">
      <c r="A67" s="11" t="s">
        <v>46</v>
      </c>
      <c r="B67" s="48" t="s">
        <v>47</v>
      </c>
      <c r="C67" s="58" t="s">
        <v>12</v>
      </c>
      <c r="D67" s="58" t="s">
        <v>12</v>
      </c>
      <c r="E67" s="62" t="s">
        <v>12</v>
      </c>
      <c r="F67" s="28">
        <f t="shared" si="44"/>
        <v>1564983.1</v>
      </c>
      <c r="G67" s="28">
        <f>SUM(G69:G82)</f>
        <v>705423.4</v>
      </c>
      <c r="H67" s="28">
        <f>SUM(H69:H82)</f>
        <v>833623.6</v>
      </c>
      <c r="I67" s="28">
        <f>SUM(I69:I82)</f>
        <v>25936.1</v>
      </c>
      <c r="J67" s="28">
        <f t="shared" si="73"/>
        <v>366239.1</v>
      </c>
      <c r="K67" s="28">
        <f>SUM(K69:K82)</f>
        <v>93470.7</v>
      </c>
      <c r="L67" s="28">
        <f>SUM(L69:L82)</f>
        <v>272462.59999999998</v>
      </c>
      <c r="M67" s="28">
        <f>SUM(M69:M82)</f>
        <v>305.8</v>
      </c>
      <c r="N67" s="27">
        <f>O67+P67+Q67</f>
        <v>305230.5</v>
      </c>
      <c r="O67" s="28">
        <f>SUM(O69:O82)</f>
        <v>72361.899999999994</v>
      </c>
      <c r="P67" s="28">
        <f t="shared" ref="P67" si="94">SUM(P69:P82)</f>
        <v>232868.6</v>
      </c>
      <c r="Q67" s="28">
        <f>SUM(Q69:Q82)</f>
        <v>0</v>
      </c>
      <c r="R67" s="28">
        <f t="shared" ref="R67" si="95">SUM(R69:R82)</f>
        <v>966508.2</v>
      </c>
      <c r="S67" s="28">
        <f>SUM(S69:S82)</f>
        <v>8709.4</v>
      </c>
      <c r="T67" s="28">
        <f>SUM(T69:T82)</f>
        <v>957798.8</v>
      </c>
      <c r="U67" s="28">
        <f>SUM(U69:U82)</f>
        <v>0</v>
      </c>
      <c r="V67" s="38">
        <f t="shared" si="45"/>
        <v>0.23400000000000001</v>
      </c>
    </row>
    <row r="68" spans="1:22" ht="18.75">
      <c r="A68" s="39"/>
      <c r="B68" s="40" t="s">
        <v>15</v>
      </c>
      <c r="C68" s="32"/>
      <c r="D68" s="32"/>
      <c r="E68" s="32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38"/>
    </row>
    <row r="69" spans="1:22" ht="61.5" customHeight="1">
      <c r="A69" s="39"/>
      <c r="B69" s="41" t="s">
        <v>274</v>
      </c>
      <c r="C69" s="35" t="s">
        <v>280</v>
      </c>
      <c r="D69" s="36" t="s">
        <v>48</v>
      </c>
      <c r="E69" s="59" t="s">
        <v>281</v>
      </c>
      <c r="F69" s="28">
        <f t="shared" si="44"/>
        <v>0</v>
      </c>
      <c r="G69" s="33"/>
      <c r="H69" s="33"/>
      <c r="I69" s="33"/>
      <c r="J69" s="28">
        <f t="shared" ref="J69:J83" si="96">K69+L69+M69</f>
        <v>0</v>
      </c>
      <c r="K69" s="33"/>
      <c r="L69" s="33"/>
      <c r="M69" s="33"/>
      <c r="N69" s="27">
        <f t="shared" ref="N69:N83" si="97">O69+P69+Q69</f>
        <v>50000</v>
      </c>
      <c r="O69" s="33">
        <f>59090.9-9090.9</f>
        <v>50000</v>
      </c>
      <c r="P69" s="33"/>
      <c r="Q69" s="33"/>
      <c r="R69" s="27">
        <f t="shared" ref="R69:R83" si="98">S69+T69+U69</f>
        <v>0</v>
      </c>
      <c r="S69" s="33">
        <v>0</v>
      </c>
      <c r="T69" s="33"/>
      <c r="U69" s="33"/>
      <c r="V69" s="34" t="e">
        <f t="shared" si="45"/>
        <v>#DIV/0!</v>
      </c>
    </row>
    <row r="70" spans="1:22" ht="66" customHeight="1">
      <c r="A70" s="39"/>
      <c r="B70" s="41" t="s">
        <v>251</v>
      </c>
      <c r="C70" s="35" t="s">
        <v>280</v>
      </c>
      <c r="D70" s="36" t="s">
        <v>48</v>
      </c>
      <c r="E70" s="59" t="s">
        <v>249</v>
      </c>
      <c r="F70" s="27">
        <f t="shared" si="44"/>
        <v>119113.8</v>
      </c>
      <c r="G70" s="33">
        <v>119031.6</v>
      </c>
      <c r="H70" s="33"/>
      <c r="I70" s="33">
        <v>82.2</v>
      </c>
      <c r="J70" s="27">
        <f t="shared" si="96"/>
        <v>82186.899999999994</v>
      </c>
      <c r="K70" s="33">
        <v>82143.600000000006</v>
      </c>
      <c r="L70" s="33"/>
      <c r="M70" s="33">
        <v>43.3</v>
      </c>
      <c r="N70" s="27">
        <f t="shared" si="97"/>
        <v>0</v>
      </c>
      <c r="O70" s="33">
        <v>0</v>
      </c>
      <c r="P70" s="33"/>
      <c r="Q70" s="33"/>
      <c r="R70" s="27">
        <f t="shared" si="98"/>
        <v>0</v>
      </c>
      <c r="S70" s="33">
        <v>0</v>
      </c>
      <c r="T70" s="33"/>
      <c r="U70" s="33"/>
      <c r="V70" s="34">
        <f t="shared" si="45"/>
        <v>0.69</v>
      </c>
    </row>
    <row r="71" spans="1:22" ht="66" customHeight="1">
      <c r="A71" s="39"/>
      <c r="B71" s="41" t="s">
        <v>351</v>
      </c>
      <c r="C71" s="35" t="s">
        <v>258</v>
      </c>
      <c r="D71" s="36" t="s">
        <v>19</v>
      </c>
      <c r="E71" s="59" t="s">
        <v>350</v>
      </c>
      <c r="F71" s="27">
        <f t="shared" ref="F71" si="99">G71+H71+I71</f>
        <v>47988.9</v>
      </c>
      <c r="G71" s="33">
        <v>35991.599999999999</v>
      </c>
      <c r="H71" s="33"/>
      <c r="I71" s="33">
        <v>11997.3</v>
      </c>
      <c r="J71" s="27">
        <f t="shared" ref="J71" si="100">K71+L71+M71</f>
        <v>0</v>
      </c>
      <c r="K71" s="33"/>
      <c r="L71" s="33"/>
      <c r="M71" s="33"/>
      <c r="N71" s="27">
        <f t="shared" ref="N71" si="101">O71+P71+Q71</f>
        <v>0</v>
      </c>
      <c r="O71" s="33"/>
      <c r="P71" s="33"/>
      <c r="Q71" s="33"/>
      <c r="R71" s="27">
        <f t="shared" ref="R71" si="102">S71+T71+U71</f>
        <v>0</v>
      </c>
      <c r="S71" s="33"/>
      <c r="T71" s="33"/>
      <c r="U71" s="33"/>
      <c r="V71" s="34">
        <f t="shared" ref="V71" si="103">J71/F71</f>
        <v>0</v>
      </c>
    </row>
    <row r="72" spans="1:22" ht="70.5" customHeight="1">
      <c r="A72" s="39"/>
      <c r="B72" s="41" t="s">
        <v>223</v>
      </c>
      <c r="C72" s="35" t="s">
        <v>280</v>
      </c>
      <c r="D72" s="36" t="s">
        <v>48</v>
      </c>
      <c r="E72" s="59" t="s">
        <v>132</v>
      </c>
      <c r="F72" s="27">
        <f t="shared" si="44"/>
        <v>43468.7</v>
      </c>
      <c r="G72" s="33">
        <v>5426.6</v>
      </c>
      <c r="H72" s="33">
        <v>38042.1</v>
      </c>
      <c r="I72" s="33"/>
      <c r="J72" s="27">
        <f t="shared" si="96"/>
        <v>27214.5</v>
      </c>
      <c r="K72" s="33">
        <v>2704.5</v>
      </c>
      <c r="L72" s="33">
        <v>24510</v>
      </c>
      <c r="M72" s="33"/>
      <c r="N72" s="27">
        <f t="shared" si="97"/>
        <v>41948.7</v>
      </c>
      <c r="O72" s="33">
        <v>5433.9</v>
      </c>
      <c r="P72" s="33">
        <v>36514.800000000003</v>
      </c>
      <c r="Q72" s="33"/>
      <c r="R72" s="27">
        <f t="shared" si="98"/>
        <v>35804.6</v>
      </c>
      <c r="S72" s="33">
        <v>5249.6</v>
      </c>
      <c r="T72" s="33">
        <v>30555</v>
      </c>
      <c r="U72" s="33"/>
      <c r="V72" s="34">
        <f t="shared" si="45"/>
        <v>0.626</v>
      </c>
    </row>
    <row r="73" spans="1:22" ht="41.25" customHeight="1">
      <c r="A73" s="39"/>
      <c r="B73" s="41" t="s">
        <v>275</v>
      </c>
      <c r="C73" s="35" t="s">
        <v>280</v>
      </c>
      <c r="D73" s="36" t="s">
        <v>48</v>
      </c>
      <c r="E73" s="59" t="s">
        <v>282</v>
      </c>
      <c r="F73" s="27">
        <f t="shared" ref="F73:F74" si="104">G73+H73+I73</f>
        <v>0</v>
      </c>
      <c r="G73" s="33">
        <v>0</v>
      </c>
      <c r="H73" s="33">
        <v>0</v>
      </c>
      <c r="I73" s="33"/>
      <c r="J73" s="27">
        <f t="shared" ref="J73:J74" si="105">K73+L73+M73</f>
        <v>0</v>
      </c>
      <c r="K73" s="33"/>
      <c r="L73" s="33"/>
      <c r="M73" s="33"/>
      <c r="N73" s="27">
        <f t="shared" ref="N73:N74" si="106">O73+P73+Q73</f>
        <v>0</v>
      </c>
      <c r="O73" s="33">
        <v>0</v>
      </c>
      <c r="P73" s="33">
        <v>0</v>
      </c>
      <c r="Q73" s="33"/>
      <c r="R73" s="27">
        <f t="shared" ref="R73:R74" si="107">S73+T73+U73</f>
        <v>63326.6</v>
      </c>
      <c r="S73" s="33">
        <v>1899.8</v>
      </c>
      <c r="T73" s="33">
        <v>61426.8</v>
      </c>
      <c r="U73" s="33"/>
      <c r="V73" s="34" t="e">
        <f t="shared" ref="V73:V74" si="108">J73/F73</f>
        <v>#DIV/0!</v>
      </c>
    </row>
    <row r="74" spans="1:22" ht="60.75" customHeight="1">
      <c r="A74" s="39"/>
      <c r="B74" s="41" t="s">
        <v>133</v>
      </c>
      <c r="C74" s="35" t="s">
        <v>280</v>
      </c>
      <c r="D74" s="36" t="s">
        <v>48</v>
      </c>
      <c r="E74" s="59" t="s">
        <v>134</v>
      </c>
      <c r="F74" s="27">
        <f t="shared" si="104"/>
        <v>15899.6</v>
      </c>
      <c r="G74" s="33">
        <v>477</v>
      </c>
      <c r="H74" s="33">
        <v>15422.6</v>
      </c>
      <c r="I74" s="33"/>
      <c r="J74" s="27">
        <f t="shared" si="105"/>
        <v>15333.4</v>
      </c>
      <c r="K74" s="33">
        <v>460</v>
      </c>
      <c r="L74" s="33">
        <v>14873.4</v>
      </c>
      <c r="M74" s="33"/>
      <c r="N74" s="27">
        <f t="shared" si="106"/>
        <v>32216.799999999999</v>
      </c>
      <c r="O74" s="33">
        <v>10548</v>
      </c>
      <c r="P74" s="33">
        <v>21668.799999999999</v>
      </c>
      <c r="Q74" s="33"/>
      <c r="R74" s="27">
        <f t="shared" si="107"/>
        <v>0</v>
      </c>
      <c r="S74" s="33">
        <v>0</v>
      </c>
      <c r="T74" s="33"/>
      <c r="U74" s="33"/>
      <c r="V74" s="34">
        <f t="shared" si="108"/>
        <v>0.96399999999999997</v>
      </c>
    </row>
    <row r="75" spans="1:22" ht="77.25" customHeight="1">
      <c r="A75" s="39"/>
      <c r="B75" s="41" t="s">
        <v>334</v>
      </c>
      <c r="C75" s="35" t="s">
        <v>258</v>
      </c>
      <c r="D75" s="36" t="s">
        <v>19</v>
      </c>
      <c r="E75" s="59" t="s">
        <v>235</v>
      </c>
      <c r="F75" s="27">
        <f t="shared" si="44"/>
        <v>222099.3</v>
      </c>
      <c r="G75" s="33">
        <v>213549.3</v>
      </c>
      <c r="H75" s="33"/>
      <c r="I75" s="33">
        <v>8550</v>
      </c>
      <c r="J75" s="27">
        <f t="shared" si="96"/>
        <v>27.2</v>
      </c>
      <c r="K75" s="33">
        <v>5.2</v>
      </c>
      <c r="L75" s="33"/>
      <c r="M75" s="33">
        <v>22</v>
      </c>
      <c r="N75" s="27">
        <f t="shared" si="97"/>
        <v>0</v>
      </c>
      <c r="O75" s="33">
        <v>0</v>
      </c>
      <c r="P75" s="33"/>
      <c r="Q75" s="33"/>
      <c r="R75" s="27">
        <f t="shared" si="98"/>
        <v>0</v>
      </c>
      <c r="S75" s="33">
        <v>0</v>
      </c>
      <c r="T75" s="33"/>
      <c r="U75" s="33"/>
      <c r="V75" s="34">
        <f>J75/F75</f>
        <v>0</v>
      </c>
    </row>
    <row r="76" spans="1:22" ht="90.75" customHeight="1">
      <c r="A76" s="39"/>
      <c r="B76" s="41" t="s">
        <v>338</v>
      </c>
      <c r="C76" s="35" t="s">
        <v>280</v>
      </c>
      <c r="D76" s="36" t="s">
        <v>48</v>
      </c>
      <c r="E76" s="59" t="s">
        <v>337</v>
      </c>
      <c r="F76" s="27">
        <f t="shared" ref="F76" si="109">G76+H76+I76</f>
        <v>0</v>
      </c>
      <c r="G76" s="33"/>
      <c r="H76" s="33"/>
      <c r="I76" s="33"/>
      <c r="J76" s="27">
        <f t="shared" ref="J76" si="110">K76+L76+M76</f>
        <v>0</v>
      </c>
      <c r="K76" s="33"/>
      <c r="L76" s="33"/>
      <c r="M76" s="33"/>
      <c r="N76" s="27">
        <f t="shared" ref="N76" si="111">O76+P76+Q76</f>
        <v>14000</v>
      </c>
      <c r="O76" s="33">
        <v>1820</v>
      </c>
      <c r="P76" s="33">
        <v>12180</v>
      </c>
      <c r="Q76" s="33"/>
      <c r="R76" s="27">
        <f t="shared" ref="R76" si="112">S76+T76+U76</f>
        <v>12000</v>
      </c>
      <c r="S76" s="33">
        <v>1560</v>
      </c>
      <c r="T76" s="33">
        <v>10440</v>
      </c>
      <c r="U76" s="33"/>
      <c r="V76" s="34" t="e">
        <f>J76/F76</f>
        <v>#DIV/0!</v>
      </c>
    </row>
    <row r="77" spans="1:22" ht="60.75" customHeight="1">
      <c r="A77" s="39"/>
      <c r="B77" s="41" t="s">
        <v>252</v>
      </c>
      <c r="C77" s="35" t="s">
        <v>258</v>
      </c>
      <c r="D77" s="36" t="s">
        <v>19</v>
      </c>
      <c r="E77" s="59" t="s">
        <v>250</v>
      </c>
      <c r="F77" s="27">
        <f t="shared" si="44"/>
        <v>493148.8</v>
      </c>
      <c r="G77" s="33">
        <v>14779.7</v>
      </c>
      <c r="H77" s="33">
        <v>477876</v>
      </c>
      <c r="I77" s="33">
        <v>493.1</v>
      </c>
      <c r="J77" s="27">
        <f t="shared" si="96"/>
        <v>240528.4</v>
      </c>
      <c r="K77" s="33">
        <v>7208.7</v>
      </c>
      <c r="L77" s="33">
        <v>233079.2</v>
      </c>
      <c r="M77" s="33">
        <v>240.5</v>
      </c>
      <c r="N77" s="27">
        <f t="shared" si="97"/>
        <v>131987.9</v>
      </c>
      <c r="O77" s="33">
        <v>0</v>
      </c>
      <c r="P77" s="33">
        <v>131987.9</v>
      </c>
      <c r="Q77" s="33"/>
      <c r="R77" s="27">
        <f t="shared" si="98"/>
        <v>855377</v>
      </c>
      <c r="S77" s="33">
        <v>0</v>
      </c>
      <c r="T77" s="33">
        <v>855377</v>
      </c>
      <c r="U77" s="33"/>
      <c r="V77" s="34">
        <f>J77/F77</f>
        <v>0.48799999999999999</v>
      </c>
    </row>
    <row r="78" spans="1:22" ht="69.75" customHeight="1">
      <c r="A78" s="39"/>
      <c r="B78" s="41" t="s">
        <v>276</v>
      </c>
      <c r="C78" s="35" t="s">
        <v>258</v>
      </c>
      <c r="D78" s="36" t="s">
        <v>19</v>
      </c>
      <c r="E78" s="59" t="s">
        <v>283</v>
      </c>
      <c r="F78" s="27">
        <f t="shared" si="44"/>
        <v>270312.40000000002</v>
      </c>
      <c r="G78" s="33">
        <v>269998.90000000002</v>
      </c>
      <c r="H78" s="33"/>
      <c r="I78" s="33">
        <v>313.5</v>
      </c>
      <c r="J78" s="27">
        <f t="shared" si="96"/>
        <v>0</v>
      </c>
      <c r="K78" s="33"/>
      <c r="L78" s="33"/>
      <c r="M78" s="33"/>
      <c r="N78" s="27">
        <f t="shared" si="97"/>
        <v>0</v>
      </c>
      <c r="O78" s="33">
        <v>0</v>
      </c>
      <c r="P78" s="33"/>
      <c r="Q78" s="33"/>
      <c r="R78" s="27">
        <f t="shared" si="98"/>
        <v>0</v>
      </c>
      <c r="S78" s="33">
        <v>0</v>
      </c>
      <c r="T78" s="33"/>
      <c r="U78" s="33"/>
      <c r="V78" s="34">
        <f t="shared" si="45"/>
        <v>0</v>
      </c>
    </row>
    <row r="79" spans="1:22" ht="39.75" customHeight="1">
      <c r="A79" s="39"/>
      <c r="B79" s="41" t="s">
        <v>277</v>
      </c>
      <c r="C79" s="35" t="s">
        <v>258</v>
      </c>
      <c r="D79" s="36" t="s">
        <v>19</v>
      </c>
      <c r="E79" s="59" t="s">
        <v>135</v>
      </c>
      <c r="F79" s="27">
        <f t="shared" ref="F79:F80" si="113">G79+H79+I79</f>
        <v>4500</v>
      </c>
      <c r="G79" s="33">
        <f>45168.7-45168.7</f>
        <v>0</v>
      </c>
      <c r="H79" s="33"/>
      <c r="I79" s="33">
        <v>4500</v>
      </c>
      <c r="J79" s="27">
        <f t="shared" ref="J79" si="114">K79+L79+M79</f>
        <v>0</v>
      </c>
      <c r="K79" s="33"/>
      <c r="L79" s="33"/>
      <c r="M79" s="33"/>
      <c r="N79" s="27">
        <f t="shared" ref="N79:N80" si="115">O79+P79+Q79</f>
        <v>35077.1</v>
      </c>
      <c r="O79" s="33">
        <v>4560</v>
      </c>
      <c r="P79" s="33">
        <v>30517.1</v>
      </c>
      <c r="Q79" s="33"/>
      <c r="R79" s="27">
        <f t="shared" ref="R79:R80" si="116">S79+T79+U79</f>
        <v>0</v>
      </c>
      <c r="S79" s="33">
        <v>0</v>
      </c>
      <c r="T79" s="33">
        <v>0</v>
      </c>
      <c r="U79" s="33"/>
      <c r="V79" s="34">
        <f t="shared" ref="V79:V80" si="117">J79/F79</f>
        <v>0</v>
      </c>
    </row>
    <row r="80" spans="1:22" ht="39.75" customHeight="1">
      <c r="A80" s="39"/>
      <c r="B80" s="41" t="s">
        <v>277</v>
      </c>
      <c r="C80" s="35" t="s">
        <v>280</v>
      </c>
      <c r="D80" s="36" t="s">
        <v>48</v>
      </c>
      <c r="E80" s="59" t="s">
        <v>135</v>
      </c>
      <c r="F80" s="27">
        <f t="shared" si="113"/>
        <v>347451.6</v>
      </c>
      <c r="G80" s="33">
        <v>45168.7</v>
      </c>
      <c r="H80" s="33">
        <v>302282.90000000002</v>
      </c>
      <c r="I80" s="33"/>
      <c r="J80" s="27"/>
      <c r="K80" s="33"/>
      <c r="L80" s="33" t="s">
        <v>366</v>
      </c>
      <c r="M80" s="33"/>
      <c r="N80" s="27">
        <f t="shared" si="115"/>
        <v>0</v>
      </c>
      <c r="O80" s="33"/>
      <c r="P80" s="33"/>
      <c r="Q80" s="33"/>
      <c r="R80" s="27">
        <f t="shared" si="116"/>
        <v>0</v>
      </c>
      <c r="S80" s="33"/>
      <c r="T80" s="33"/>
      <c r="U80" s="33"/>
      <c r="V80" s="34">
        <f t="shared" si="117"/>
        <v>0</v>
      </c>
    </row>
    <row r="81" spans="1:22" ht="58.5" customHeight="1">
      <c r="A81" s="39"/>
      <c r="B81" s="41" t="s">
        <v>278</v>
      </c>
      <c r="C81" s="35" t="s">
        <v>280</v>
      </c>
      <c r="D81" s="36" t="s">
        <v>48</v>
      </c>
      <c r="E81" s="59" t="s">
        <v>284</v>
      </c>
      <c r="F81" s="27">
        <f t="shared" ref="F81" si="118">G81+H81+I81</f>
        <v>0</v>
      </c>
      <c r="G81" s="33">
        <f>22384.2-22384.2</f>
        <v>0</v>
      </c>
      <c r="H81" s="33"/>
      <c r="I81" s="33"/>
      <c r="J81" s="27">
        <f t="shared" ref="J81" si="119">K81+L81+M81</f>
        <v>0</v>
      </c>
      <c r="K81" s="33"/>
      <c r="L81" s="33"/>
      <c r="M81" s="33"/>
      <c r="N81" s="27">
        <f t="shared" ref="N81" si="120">O81+P81+Q81</f>
        <v>0</v>
      </c>
      <c r="O81" s="33">
        <f>91106.8-91106.8</f>
        <v>0</v>
      </c>
      <c r="P81" s="33"/>
      <c r="Q81" s="33"/>
      <c r="R81" s="27">
        <f t="shared" ref="R81" si="121">S81+T81+U81</f>
        <v>0</v>
      </c>
      <c r="S81" s="33">
        <f>50012.8-50012.8</f>
        <v>0</v>
      </c>
      <c r="T81" s="33"/>
      <c r="U81" s="33"/>
      <c r="V81" s="34" t="e">
        <f t="shared" ref="V81" si="122">J81/F81</f>
        <v>#DIV/0!</v>
      </c>
    </row>
    <row r="82" spans="1:22" ht="108.75" customHeight="1">
      <c r="A82" s="39"/>
      <c r="B82" s="41" t="s">
        <v>279</v>
      </c>
      <c r="C82" s="35" t="s">
        <v>280</v>
      </c>
      <c r="D82" s="36" t="s">
        <v>48</v>
      </c>
      <c r="E82" s="59" t="s">
        <v>285</v>
      </c>
      <c r="F82" s="28">
        <f t="shared" ref="F82" si="123">G82+H82+I82</f>
        <v>1000</v>
      </c>
      <c r="G82" s="33">
        <v>1000</v>
      </c>
      <c r="H82" s="33"/>
      <c r="I82" s="33"/>
      <c r="J82" s="28">
        <f t="shared" ref="J82" si="124">K82+L82+M82</f>
        <v>948.7</v>
      </c>
      <c r="K82" s="33">
        <v>948.7</v>
      </c>
      <c r="L82" s="33"/>
      <c r="M82" s="33"/>
      <c r="N82" s="27">
        <f t="shared" ref="N82" si="125">O82+P82+Q82</f>
        <v>0</v>
      </c>
      <c r="O82" s="33">
        <v>0</v>
      </c>
      <c r="P82" s="33"/>
      <c r="Q82" s="33"/>
      <c r="R82" s="27">
        <f t="shared" ref="R82" si="126">S82+T82+U82</f>
        <v>0</v>
      </c>
      <c r="S82" s="33">
        <v>0</v>
      </c>
      <c r="T82" s="33"/>
      <c r="U82" s="33"/>
      <c r="V82" s="34">
        <f t="shared" ref="V82" si="127">J82/F82</f>
        <v>0.94899999999999995</v>
      </c>
    </row>
    <row r="83" spans="1:22" ht="34.5" customHeight="1">
      <c r="A83" s="24" t="s">
        <v>49</v>
      </c>
      <c r="B83" s="25" t="s">
        <v>55</v>
      </c>
      <c r="C83" s="26" t="s">
        <v>12</v>
      </c>
      <c r="D83" s="26" t="s">
        <v>12</v>
      </c>
      <c r="E83" s="26" t="s">
        <v>12</v>
      </c>
      <c r="F83" s="28">
        <f t="shared" si="44"/>
        <v>16110.5</v>
      </c>
      <c r="G83" s="28">
        <f>SUM(G85:G89)</f>
        <v>7584.4</v>
      </c>
      <c r="H83" s="28">
        <f>SUM(H85:H89)</f>
        <v>8517.2999999999993</v>
      </c>
      <c r="I83" s="28">
        <f>SUM(I85:I89)</f>
        <v>8.8000000000000007</v>
      </c>
      <c r="J83" s="28">
        <f t="shared" si="96"/>
        <v>9897.7999999999993</v>
      </c>
      <c r="K83" s="28">
        <f>SUM(K85:K89)</f>
        <v>7398.2</v>
      </c>
      <c r="L83" s="28">
        <f>SUM(L85:L89)</f>
        <v>2497</v>
      </c>
      <c r="M83" s="28">
        <f>SUM(M85:M89)</f>
        <v>2.6</v>
      </c>
      <c r="N83" s="27">
        <f t="shared" si="97"/>
        <v>350372</v>
      </c>
      <c r="O83" s="28">
        <f>SUM(O85:O89)</f>
        <v>150785.60000000001</v>
      </c>
      <c r="P83" s="28">
        <f>SUM(P85:P89)</f>
        <v>199586.4</v>
      </c>
      <c r="Q83" s="28">
        <f>SUM(Q85:Q89)</f>
        <v>0</v>
      </c>
      <c r="R83" s="27">
        <f t="shared" si="98"/>
        <v>16746.5</v>
      </c>
      <c r="S83" s="28">
        <f>SUM(S85:S89)</f>
        <v>502.4</v>
      </c>
      <c r="T83" s="28">
        <f>SUM(T85:T89)</f>
        <v>16244.1</v>
      </c>
      <c r="U83" s="28">
        <f>SUM(U85:U89)</f>
        <v>0</v>
      </c>
      <c r="V83" s="29">
        <f t="shared" si="45"/>
        <v>0.61399999999999999</v>
      </c>
    </row>
    <row r="84" spans="1:22" ht="18.75">
      <c r="A84" s="39"/>
      <c r="B84" s="40" t="s">
        <v>15</v>
      </c>
      <c r="C84" s="32"/>
      <c r="D84" s="32"/>
      <c r="E84" s="32"/>
      <c r="F84" s="28"/>
      <c r="G84" s="28"/>
      <c r="H84" s="28"/>
      <c r="I84" s="28"/>
      <c r="J84" s="28"/>
      <c r="K84" s="28"/>
      <c r="L84" s="28"/>
      <c r="M84" s="28"/>
      <c r="N84" s="27"/>
      <c r="O84" s="28"/>
      <c r="P84" s="28"/>
      <c r="Q84" s="28"/>
      <c r="R84" s="27"/>
      <c r="S84" s="28"/>
      <c r="T84" s="28"/>
      <c r="U84" s="28"/>
      <c r="V84" s="29"/>
    </row>
    <row r="85" spans="1:22" ht="55.5" customHeight="1">
      <c r="A85" s="39"/>
      <c r="B85" s="41" t="s">
        <v>136</v>
      </c>
      <c r="C85" s="35" t="s">
        <v>258</v>
      </c>
      <c r="D85" s="36" t="s">
        <v>19</v>
      </c>
      <c r="E85" s="59" t="s">
        <v>137</v>
      </c>
      <c r="F85" s="28">
        <f t="shared" si="44"/>
        <v>8789.5</v>
      </c>
      <c r="G85" s="33">
        <v>263.39999999999998</v>
      </c>
      <c r="H85" s="33">
        <v>8517.2999999999993</v>
      </c>
      <c r="I85" s="33">
        <v>8.8000000000000007</v>
      </c>
      <c r="J85" s="28">
        <f t="shared" ref="J85:J90" si="128">K85+L85+M85</f>
        <v>2576.8000000000002</v>
      </c>
      <c r="K85" s="33">
        <v>77.2</v>
      </c>
      <c r="L85" s="33">
        <v>2497</v>
      </c>
      <c r="M85" s="33">
        <v>2.6</v>
      </c>
      <c r="N85" s="27">
        <f t="shared" ref="N85:N90" si="129">O85+P85+Q85</f>
        <v>8614.2999999999993</v>
      </c>
      <c r="O85" s="33">
        <v>258.39999999999998</v>
      </c>
      <c r="P85" s="33">
        <v>8355.9</v>
      </c>
      <c r="Q85" s="33"/>
      <c r="R85" s="27">
        <f t="shared" ref="R85:R90" si="130">S85+T85+U85</f>
        <v>9732.6</v>
      </c>
      <c r="S85" s="33">
        <v>292</v>
      </c>
      <c r="T85" s="33">
        <v>9440.6</v>
      </c>
      <c r="U85" s="33"/>
      <c r="V85" s="34">
        <f t="shared" si="45"/>
        <v>0.29299999999999998</v>
      </c>
    </row>
    <row r="86" spans="1:22" ht="44.25" customHeight="1">
      <c r="A86" s="39"/>
      <c r="B86" s="41" t="s">
        <v>56</v>
      </c>
      <c r="C86" s="35" t="s">
        <v>280</v>
      </c>
      <c r="D86" s="36" t="s">
        <v>48</v>
      </c>
      <c r="E86" s="59" t="s">
        <v>174</v>
      </c>
      <c r="F86" s="28">
        <f t="shared" si="44"/>
        <v>0</v>
      </c>
      <c r="G86" s="33">
        <v>0</v>
      </c>
      <c r="H86" s="33"/>
      <c r="I86" s="33"/>
      <c r="J86" s="28">
        <f t="shared" si="128"/>
        <v>0</v>
      </c>
      <c r="K86" s="33"/>
      <c r="L86" s="33"/>
      <c r="M86" s="33"/>
      <c r="N86" s="27">
        <f t="shared" si="129"/>
        <v>341757.7</v>
      </c>
      <c r="O86" s="33">
        <v>150527.20000000001</v>
      </c>
      <c r="P86" s="33">
        <v>191230.5</v>
      </c>
      <c r="Q86" s="33"/>
      <c r="R86" s="27">
        <f t="shared" si="130"/>
        <v>0</v>
      </c>
      <c r="S86" s="33">
        <v>0</v>
      </c>
      <c r="T86" s="33"/>
      <c r="U86" s="33"/>
      <c r="V86" s="34"/>
    </row>
    <row r="87" spans="1:22" ht="74.25" customHeight="1">
      <c r="A87" s="39"/>
      <c r="B87" s="41" t="s">
        <v>139</v>
      </c>
      <c r="C87" s="35" t="s">
        <v>280</v>
      </c>
      <c r="D87" s="36" t="s">
        <v>48</v>
      </c>
      <c r="E87" s="59" t="s">
        <v>138</v>
      </c>
      <c r="F87" s="28">
        <f t="shared" si="44"/>
        <v>0</v>
      </c>
      <c r="G87" s="33">
        <v>0</v>
      </c>
      <c r="H87" s="33"/>
      <c r="I87" s="33"/>
      <c r="J87" s="27">
        <f t="shared" si="128"/>
        <v>0</v>
      </c>
      <c r="K87" s="33"/>
      <c r="L87" s="33"/>
      <c r="M87" s="33"/>
      <c r="N87" s="27">
        <f t="shared" si="129"/>
        <v>0</v>
      </c>
      <c r="O87" s="33">
        <v>0</v>
      </c>
      <c r="P87" s="33"/>
      <c r="Q87" s="33"/>
      <c r="R87" s="27">
        <f t="shared" si="130"/>
        <v>7013.9</v>
      </c>
      <c r="S87" s="33">
        <v>210.4</v>
      </c>
      <c r="T87" s="33">
        <v>6803.5</v>
      </c>
      <c r="U87" s="33"/>
      <c r="V87" s="34"/>
    </row>
    <row r="88" spans="1:22" ht="49.5">
      <c r="A88" s="39"/>
      <c r="B88" s="41" t="s">
        <v>57</v>
      </c>
      <c r="C88" s="35" t="s">
        <v>280</v>
      </c>
      <c r="D88" s="36" t="s">
        <v>48</v>
      </c>
      <c r="E88" s="59" t="s">
        <v>185</v>
      </c>
      <c r="F88" s="28">
        <f t="shared" si="44"/>
        <v>4000</v>
      </c>
      <c r="G88" s="33">
        <v>4000</v>
      </c>
      <c r="H88" s="33"/>
      <c r="I88" s="33"/>
      <c r="J88" s="27">
        <f t="shared" si="128"/>
        <v>4000</v>
      </c>
      <c r="K88" s="33">
        <v>4000</v>
      </c>
      <c r="L88" s="33"/>
      <c r="M88" s="33"/>
      <c r="N88" s="27">
        <f t="shared" si="129"/>
        <v>0</v>
      </c>
      <c r="O88" s="33">
        <v>0</v>
      </c>
      <c r="P88" s="33"/>
      <c r="Q88" s="33"/>
      <c r="R88" s="27">
        <f t="shared" si="130"/>
        <v>0</v>
      </c>
      <c r="S88" s="33">
        <v>0</v>
      </c>
      <c r="T88" s="33"/>
      <c r="U88" s="33"/>
      <c r="V88" s="34">
        <f t="shared" si="45"/>
        <v>1</v>
      </c>
    </row>
    <row r="89" spans="1:22" ht="60.75" customHeight="1">
      <c r="A89" s="39"/>
      <c r="B89" s="41" t="s">
        <v>332</v>
      </c>
      <c r="C89" s="35" t="s">
        <v>280</v>
      </c>
      <c r="D89" s="36" t="s">
        <v>48</v>
      </c>
      <c r="E89" s="39" t="s">
        <v>186</v>
      </c>
      <c r="F89" s="28">
        <f t="shared" si="44"/>
        <v>3321</v>
      </c>
      <c r="G89" s="33">
        <v>3321</v>
      </c>
      <c r="H89" s="33"/>
      <c r="I89" s="33"/>
      <c r="J89" s="28">
        <f t="shared" si="128"/>
        <v>3321</v>
      </c>
      <c r="K89" s="33">
        <v>3321</v>
      </c>
      <c r="L89" s="33"/>
      <c r="M89" s="33"/>
      <c r="N89" s="27">
        <f t="shared" si="129"/>
        <v>0</v>
      </c>
      <c r="O89" s="33">
        <v>0</v>
      </c>
      <c r="P89" s="33"/>
      <c r="Q89" s="33"/>
      <c r="R89" s="27">
        <f t="shared" si="130"/>
        <v>0</v>
      </c>
      <c r="S89" s="33">
        <v>0</v>
      </c>
      <c r="T89" s="33"/>
      <c r="U89" s="33"/>
      <c r="V89" s="34">
        <f t="shared" si="45"/>
        <v>1</v>
      </c>
    </row>
    <row r="90" spans="1:22" ht="46.5" customHeight="1">
      <c r="A90" s="24" t="s">
        <v>54</v>
      </c>
      <c r="B90" s="48" t="s">
        <v>50</v>
      </c>
      <c r="C90" s="26" t="s">
        <v>12</v>
      </c>
      <c r="D90" s="26" t="s">
        <v>12</v>
      </c>
      <c r="E90" s="26" t="s">
        <v>12</v>
      </c>
      <c r="F90" s="28">
        <f t="shared" si="44"/>
        <v>146370.70000000001</v>
      </c>
      <c r="G90" s="28">
        <f>SUM(G92:G97)</f>
        <v>37209.699999999997</v>
      </c>
      <c r="H90" s="28">
        <f>SUM(H92:H97)</f>
        <v>109161</v>
      </c>
      <c r="I90" s="28">
        <f>SUM(I92:I97)</f>
        <v>0</v>
      </c>
      <c r="J90" s="28">
        <f t="shared" si="128"/>
        <v>106433.3</v>
      </c>
      <c r="K90" s="28">
        <f>SUM(K92:K97)</f>
        <v>35306.1</v>
      </c>
      <c r="L90" s="28">
        <f>SUM(L92:L97)</f>
        <v>71127.199999999997</v>
      </c>
      <c r="M90" s="28">
        <f>SUM(M92:M97)</f>
        <v>0</v>
      </c>
      <c r="N90" s="27">
        <f t="shared" si="129"/>
        <v>156583.9</v>
      </c>
      <c r="O90" s="28">
        <f>SUM(O92:O97)</f>
        <v>50316.800000000003</v>
      </c>
      <c r="P90" s="28">
        <f>SUM(P92:P97)</f>
        <v>106267.1</v>
      </c>
      <c r="Q90" s="28">
        <f>SUM(Q92:Q97)</f>
        <v>0</v>
      </c>
      <c r="R90" s="27">
        <f t="shared" si="130"/>
        <v>43457</v>
      </c>
      <c r="S90" s="28">
        <f>SUM(S92:S97)</f>
        <v>31069.4</v>
      </c>
      <c r="T90" s="28">
        <f>SUM(T92:T97)</f>
        <v>12387.6</v>
      </c>
      <c r="U90" s="28">
        <f>SUM(U92:U97)</f>
        <v>0</v>
      </c>
      <c r="V90" s="29">
        <f t="shared" si="45"/>
        <v>0.72699999999999998</v>
      </c>
    </row>
    <row r="91" spans="1:22" ht="18.75">
      <c r="A91" s="39"/>
      <c r="B91" s="40" t="s">
        <v>15</v>
      </c>
      <c r="C91" s="32"/>
      <c r="D91" s="32"/>
      <c r="E91" s="32"/>
      <c r="F91" s="28"/>
      <c r="G91" s="28"/>
      <c r="H91" s="28"/>
      <c r="I91" s="28"/>
      <c r="J91" s="28"/>
      <c r="K91" s="28"/>
      <c r="L91" s="28"/>
      <c r="M91" s="28"/>
      <c r="N91" s="27"/>
      <c r="O91" s="28"/>
      <c r="P91" s="28"/>
      <c r="Q91" s="28"/>
      <c r="R91" s="27"/>
      <c r="S91" s="28"/>
      <c r="T91" s="28"/>
      <c r="U91" s="28"/>
      <c r="V91" s="29"/>
    </row>
    <row r="92" spans="1:22" ht="61.5" customHeight="1">
      <c r="A92" s="39"/>
      <c r="B92" s="41" t="s">
        <v>187</v>
      </c>
      <c r="C92" s="35" t="s">
        <v>280</v>
      </c>
      <c r="D92" s="36" t="s">
        <v>48</v>
      </c>
      <c r="E92" s="59" t="s">
        <v>188</v>
      </c>
      <c r="F92" s="28">
        <f t="shared" si="44"/>
        <v>29506</v>
      </c>
      <c r="G92" s="33">
        <v>29506</v>
      </c>
      <c r="H92" s="33"/>
      <c r="I92" s="33"/>
      <c r="J92" s="28">
        <f t="shared" ref="J92:J98" si="131">K92+L92+M92</f>
        <v>28972.400000000001</v>
      </c>
      <c r="K92" s="33">
        <v>28972.400000000001</v>
      </c>
      <c r="L92" s="33"/>
      <c r="M92" s="33"/>
      <c r="N92" s="27">
        <f t="shared" ref="N92:N98" si="132">O92+P92+Q92</f>
        <v>41501.9</v>
      </c>
      <c r="O92" s="33">
        <v>41501.9</v>
      </c>
      <c r="P92" s="33"/>
      <c r="Q92" s="33"/>
      <c r="R92" s="27">
        <f t="shared" ref="R92:R98" si="133">S92+T92+U92</f>
        <v>25786.3</v>
      </c>
      <c r="S92" s="33">
        <v>25786.3</v>
      </c>
      <c r="T92" s="33"/>
      <c r="U92" s="33"/>
      <c r="V92" s="34">
        <f t="shared" si="45"/>
        <v>0.98199999999999998</v>
      </c>
    </row>
    <row r="93" spans="1:22" ht="60.75" customHeight="1">
      <c r="A93" s="39"/>
      <c r="B93" s="41" t="s">
        <v>224</v>
      </c>
      <c r="C93" s="35" t="s">
        <v>280</v>
      </c>
      <c r="D93" s="36" t="s">
        <v>48</v>
      </c>
      <c r="E93" s="59" t="s">
        <v>140</v>
      </c>
      <c r="F93" s="28">
        <f t="shared" si="44"/>
        <v>82533.899999999994</v>
      </c>
      <c r="G93" s="33">
        <v>2476</v>
      </c>
      <c r="H93" s="33">
        <v>80057.94</v>
      </c>
      <c r="I93" s="33"/>
      <c r="J93" s="27">
        <f t="shared" si="131"/>
        <v>43382.3</v>
      </c>
      <c r="K93" s="33">
        <v>1301.5</v>
      </c>
      <c r="L93" s="33">
        <v>42080.800000000003</v>
      </c>
      <c r="M93" s="33"/>
      <c r="N93" s="27">
        <f t="shared" si="132"/>
        <v>96453.6</v>
      </c>
      <c r="O93" s="33">
        <v>2893.6</v>
      </c>
      <c r="P93" s="33">
        <v>93560</v>
      </c>
      <c r="Q93" s="33"/>
      <c r="R93" s="27">
        <f t="shared" si="133"/>
        <v>12770.7</v>
      </c>
      <c r="S93" s="33">
        <v>383.1</v>
      </c>
      <c r="T93" s="33">
        <v>12387.6</v>
      </c>
      <c r="U93" s="33"/>
      <c r="V93" s="34">
        <f t="shared" si="45"/>
        <v>0.52600000000000002</v>
      </c>
    </row>
    <row r="94" spans="1:22" ht="55.5" customHeight="1">
      <c r="A94" s="39"/>
      <c r="B94" s="41" t="s">
        <v>224</v>
      </c>
      <c r="C94" s="35" t="s">
        <v>286</v>
      </c>
      <c r="D94" s="36" t="s">
        <v>51</v>
      </c>
      <c r="E94" s="59" t="s">
        <v>140</v>
      </c>
      <c r="F94" s="28">
        <f t="shared" si="44"/>
        <v>12559.7</v>
      </c>
      <c r="G94" s="33">
        <v>376.8</v>
      </c>
      <c r="H94" s="33">
        <v>12182.86</v>
      </c>
      <c r="I94" s="33"/>
      <c r="J94" s="27">
        <f t="shared" si="131"/>
        <v>12501.2</v>
      </c>
      <c r="K94" s="33">
        <f>3.3+371.7</f>
        <v>375</v>
      </c>
      <c r="L94" s="33">
        <f>107.6+12018.6</f>
        <v>12126.2</v>
      </c>
      <c r="M94" s="33"/>
      <c r="N94" s="27">
        <f t="shared" si="132"/>
        <v>13100.1</v>
      </c>
      <c r="O94" s="33">
        <v>393</v>
      </c>
      <c r="P94" s="33">
        <v>12707.1</v>
      </c>
      <c r="Q94" s="33"/>
      <c r="R94" s="27">
        <f t="shared" si="133"/>
        <v>0</v>
      </c>
      <c r="S94" s="33">
        <v>0</v>
      </c>
      <c r="T94" s="33"/>
      <c r="U94" s="33"/>
      <c r="V94" s="34">
        <f t="shared" si="45"/>
        <v>0.995</v>
      </c>
    </row>
    <row r="95" spans="1:22" ht="39" customHeight="1">
      <c r="A95" s="39"/>
      <c r="B95" s="41" t="s">
        <v>53</v>
      </c>
      <c r="C95" s="35" t="s">
        <v>286</v>
      </c>
      <c r="D95" s="36" t="s">
        <v>51</v>
      </c>
      <c r="E95" s="39" t="s">
        <v>176</v>
      </c>
      <c r="F95" s="28">
        <f t="shared" si="44"/>
        <v>3561.2</v>
      </c>
      <c r="G95" s="33">
        <f>3605.13-43.9</f>
        <v>3561.2</v>
      </c>
      <c r="H95" s="33"/>
      <c r="I95" s="33"/>
      <c r="J95" s="27">
        <f t="shared" si="131"/>
        <v>3561.2</v>
      </c>
      <c r="K95" s="33">
        <f>2582.9+978.3</f>
        <v>3561.2</v>
      </c>
      <c r="L95" s="33"/>
      <c r="M95" s="33"/>
      <c r="N95" s="27">
        <f t="shared" si="132"/>
        <v>4325.8999999999996</v>
      </c>
      <c r="O95" s="33">
        <v>4325.8999999999996</v>
      </c>
      <c r="P95" s="33"/>
      <c r="Q95" s="33"/>
      <c r="R95" s="27">
        <f t="shared" si="133"/>
        <v>4390.5</v>
      </c>
      <c r="S95" s="33">
        <v>4390.5</v>
      </c>
      <c r="T95" s="33"/>
      <c r="U95" s="33"/>
      <c r="V95" s="34">
        <f t="shared" si="45"/>
        <v>1</v>
      </c>
    </row>
    <row r="96" spans="1:22" ht="55.5" customHeight="1">
      <c r="A96" s="39"/>
      <c r="B96" s="41" t="s">
        <v>52</v>
      </c>
      <c r="C96" s="35" t="s">
        <v>280</v>
      </c>
      <c r="D96" s="36" t="s">
        <v>48</v>
      </c>
      <c r="E96" s="39" t="s">
        <v>173</v>
      </c>
      <c r="F96" s="28">
        <f t="shared" si="44"/>
        <v>766.4</v>
      </c>
      <c r="G96" s="33">
        <v>766.4</v>
      </c>
      <c r="H96" s="33"/>
      <c r="I96" s="33"/>
      <c r="J96" s="27">
        <f t="shared" si="131"/>
        <v>572.70000000000005</v>
      </c>
      <c r="K96" s="33">
        <v>572.70000000000005</v>
      </c>
      <c r="L96" s="33"/>
      <c r="M96" s="33"/>
      <c r="N96" s="27">
        <f t="shared" si="132"/>
        <v>1202.4000000000001</v>
      </c>
      <c r="O96" s="33">
        <v>1202.4000000000001</v>
      </c>
      <c r="P96" s="33"/>
      <c r="Q96" s="33"/>
      <c r="R96" s="27">
        <f t="shared" si="133"/>
        <v>509.5</v>
      </c>
      <c r="S96" s="33">
        <v>509.5</v>
      </c>
      <c r="T96" s="33"/>
      <c r="U96" s="33"/>
      <c r="V96" s="34">
        <f t="shared" si="45"/>
        <v>0.747</v>
      </c>
    </row>
    <row r="97" spans="1:22" ht="34.5" customHeight="1">
      <c r="A97" s="39"/>
      <c r="B97" s="41" t="s">
        <v>141</v>
      </c>
      <c r="C97" s="35" t="s">
        <v>280</v>
      </c>
      <c r="D97" s="36" t="s">
        <v>48</v>
      </c>
      <c r="E97" s="39" t="s">
        <v>142</v>
      </c>
      <c r="F97" s="28">
        <f t="shared" si="44"/>
        <v>17443.5</v>
      </c>
      <c r="G97" s="33">
        <v>523.29999999999995</v>
      </c>
      <c r="H97" s="33">
        <v>16920.2</v>
      </c>
      <c r="I97" s="33"/>
      <c r="J97" s="28">
        <f t="shared" si="131"/>
        <v>17443.5</v>
      </c>
      <c r="K97" s="33">
        <v>523.29999999999995</v>
      </c>
      <c r="L97" s="33">
        <v>16920.2</v>
      </c>
      <c r="M97" s="33"/>
      <c r="N97" s="27">
        <f t="shared" si="132"/>
        <v>0</v>
      </c>
      <c r="O97" s="33">
        <v>0</v>
      </c>
      <c r="P97" s="33"/>
      <c r="Q97" s="33"/>
      <c r="R97" s="27">
        <f t="shared" si="133"/>
        <v>0</v>
      </c>
      <c r="S97" s="33">
        <v>0</v>
      </c>
      <c r="T97" s="33"/>
      <c r="U97" s="33"/>
      <c r="V97" s="34">
        <f t="shared" si="45"/>
        <v>1</v>
      </c>
    </row>
    <row r="98" spans="1:22" ht="57" customHeight="1">
      <c r="A98" s="24" t="s">
        <v>58</v>
      </c>
      <c r="B98" s="48" t="s">
        <v>59</v>
      </c>
      <c r="C98" s="26" t="s">
        <v>12</v>
      </c>
      <c r="D98" s="26" t="s">
        <v>12</v>
      </c>
      <c r="E98" s="26" t="s">
        <v>12</v>
      </c>
      <c r="F98" s="28">
        <f t="shared" si="44"/>
        <v>62209.5</v>
      </c>
      <c r="G98" s="28">
        <f>SUM(G100:G100)</f>
        <v>1866.3</v>
      </c>
      <c r="H98" s="28">
        <f>SUM(H100:H100)</f>
        <v>60343.199999999997</v>
      </c>
      <c r="I98" s="28">
        <f>SUM(I100:I100)</f>
        <v>0</v>
      </c>
      <c r="J98" s="28">
        <f t="shared" si="131"/>
        <v>42812.3</v>
      </c>
      <c r="K98" s="28">
        <f>SUM(K100:K100)</f>
        <v>1284.4000000000001</v>
      </c>
      <c r="L98" s="28">
        <f>SUM(L100:L100)</f>
        <v>41527.9</v>
      </c>
      <c r="M98" s="28">
        <f>SUM(M100:M100)</f>
        <v>0</v>
      </c>
      <c r="N98" s="27">
        <f t="shared" si="132"/>
        <v>27351.599999999999</v>
      </c>
      <c r="O98" s="28">
        <f>SUM(O100:O100)</f>
        <v>820.5</v>
      </c>
      <c r="P98" s="28">
        <f>SUM(P100:P100)</f>
        <v>26531.1</v>
      </c>
      <c r="Q98" s="28">
        <f>SUM(Q100:Q100)</f>
        <v>0</v>
      </c>
      <c r="R98" s="27">
        <f t="shared" si="133"/>
        <v>26462.1</v>
      </c>
      <c r="S98" s="28">
        <f>SUM(S100:S100)</f>
        <v>793.9</v>
      </c>
      <c r="T98" s="28">
        <f>SUM(T100:T100)</f>
        <v>25668.2</v>
      </c>
      <c r="U98" s="28">
        <f>SUM(U100:U100)</f>
        <v>0</v>
      </c>
      <c r="V98" s="29">
        <f t="shared" si="45"/>
        <v>0.68799999999999994</v>
      </c>
    </row>
    <row r="99" spans="1:22" ht="18.75">
      <c r="A99" s="39"/>
      <c r="B99" s="40" t="s">
        <v>15</v>
      </c>
      <c r="C99" s="32"/>
      <c r="D99" s="32"/>
      <c r="E99" s="32"/>
      <c r="F99" s="28"/>
      <c r="G99" s="28"/>
      <c r="H99" s="28"/>
      <c r="I99" s="28"/>
      <c r="J99" s="28"/>
      <c r="K99" s="28"/>
      <c r="L99" s="28"/>
      <c r="M99" s="28"/>
      <c r="N99" s="27"/>
      <c r="O99" s="28"/>
      <c r="P99" s="28"/>
      <c r="Q99" s="28"/>
      <c r="R99" s="27"/>
      <c r="S99" s="28"/>
      <c r="T99" s="28"/>
      <c r="U99" s="28"/>
      <c r="V99" s="29"/>
    </row>
    <row r="100" spans="1:22" ht="58.5" customHeight="1">
      <c r="A100" s="39"/>
      <c r="B100" s="41" t="s">
        <v>287</v>
      </c>
      <c r="C100" s="35" t="s">
        <v>286</v>
      </c>
      <c r="D100" s="36" t="s">
        <v>51</v>
      </c>
      <c r="E100" s="35" t="s">
        <v>288</v>
      </c>
      <c r="F100" s="28">
        <f t="shared" si="44"/>
        <v>62209.5</v>
      </c>
      <c r="G100" s="33">
        <v>1866.3</v>
      </c>
      <c r="H100" s="33">
        <v>60343.199999999997</v>
      </c>
      <c r="I100" s="33"/>
      <c r="J100" s="28">
        <f t="shared" ref="J100" si="134">K100+L100+M100</f>
        <v>42812.3</v>
      </c>
      <c r="K100" s="33">
        <v>1284.4000000000001</v>
      </c>
      <c r="L100" s="33">
        <v>41527.9</v>
      </c>
      <c r="M100" s="33"/>
      <c r="N100" s="27">
        <f t="shared" ref="N100" si="135">O100+P100+Q100</f>
        <v>27351.599999999999</v>
      </c>
      <c r="O100" s="33">
        <v>820.5</v>
      </c>
      <c r="P100" s="33">
        <v>26531.1</v>
      </c>
      <c r="Q100" s="33"/>
      <c r="R100" s="27">
        <f t="shared" ref="R100" si="136">S100+T100+U100</f>
        <v>26462.1</v>
      </c>
      <c r="S100" s="33">
        <v>793.9</v>
      </c>
      <c r="T100" s="33">
        <v>25668.2</v>
      </c>
      <c r="U100" s="33"/>
      <c r="V100" s="29">
        <f t="shared" si="45"/>
        <v>0.68799999999999994</v>
      </c>
    </row>
    <row r="101" spans="1:22" ht="60.75" customHeight="1">
      <c r="A101" s="24" t="s">
        <v>358</v>
      </c>
      <c r="B101" s="48" t="s">
        <v>357</v>
      </c>
      <c r="C101" s="26" t="s">
        <v>12</v>
      </c>
      <c r="D101" s="26" t="s">
        <v>12</v>
      </c>
      <c r="E101" s="26" t="s">
        <v>12</v>
      </c>
      <c r="F101" s="28">
        <f>F103</f>
        <v>30663.7</v>
      </c>
      <c r="G101" s="33">
        <f t="shared" ref="G101:M101" si="137">G103</f>
        <v>2458.6999999999998</v>
      </c>
      <c r="H101" s="33">
        <f t="shared" si="137"/>
        <v>28205</v>
      </c>
      <c r="I101" s="33">
        <f t="shared" si="137"/>
        <v>0</v>
      </c>
      <c r="J101" s="28">
        <f>J103</f>
        <v>0</v>
      </c>
      <c r="K101" s="33">
        <f>K103</f>
        <v>0</v>
      </c>
      <c r="L101" s="33">
        <f t="shared" si="137"/>
        <v>0</v>
      </c>
      <c r="M101" s="33">
        <f t="shared" si="137"/>
        <v>0</v>
      </c>
      <c r="N101" s="27">
        <f>O101+P101+Q101</f>
        <v>0</v>
      </c>
      <c r="O101" s="33"/>
      <c r="P101" s="33"/>
      <c r="Q101" s="33"/>
      <c r="R101" s="27">
        <f>S101+T101+U101</f>
        <v>0</v>
      </c>
      <c r="S101" s="33"/>
      <c r="T101" s="33"/>
      <c r="U101" s="33"/>
      <c r="V101" s="29">
        <f t="shared" si="45"/>
        <v>0</v>
      </c>
    </row>
    <row r="102" spans="1:22" ht="19.5" customHeight="1">
      <c r="A102" s="39"/>
      <c r="B102" s="40" t="s">
        <v>15</v>
      </c>
      <c r="C102" s="35"/>
      <c r="D102" s="36"/>
      <c r="E102" s="35"/>
      <c r="F102" s="28"/>
      <c r="G102" s="33"/>
      <c r="H102" s="33"/>
      <c r="I102" s="33"/>
      <c r="J102" s="28"/>
      <c r="K102" s="33"/>
      <c r="L102" s="33"/>
      <c r="M102" s="33"/>
      <c r="N102" s="27"/>
      <c r="O102" s="33"/>
      <c r="P102" s="33"/>
      <c r="Q102" s="33"/>
      <c r="R102" s="27"/>
      <c r="S102" s="33"/>
      <c r="T102" s="33"/>
      <c r="U102" s="33"/>
      <c r="V102" s="29"/>
    </row>
    <row r="103" spans="1:22" ht="84" customHeight="1">
      <c r="A103" s="39"/>
      <c r="B103" s="41" t="s">
        <v>359</v>
      </c>
      <c r="C103" s="35">
        <v>815</v>
      </c>
      <c r="D103" s="93" t="s">
        <v>48</v>
      </c>
      <c r="E103" s="35" t="s">
        <v>360</v>
      </c>
      <c r="F103" s="28">
        <f>G103+H103+I103</f>
        <v>30663.7</v>
      </c>
      <c r="G103" s="79">
        <v>2458.6999999999998</v>
      </c>
      <c r="H103" s="79">
        <v>28205</v>
      </c>
      <c r="I103" s="33">
        <v>0</v>
      </c>
      <c r="J103" s="28"/>
      <c r="K103" s="33"/>
      <c r="L103" s="33"/>
      <c r="M103" s="33"/>
      <c r="N103" s="27">
        <f>O103+P103+Q103</f>
        <v>0</v>
      </c>
      <c r="O103" s="33"/>
      <c r="P103" s="33"/>
      <c r="Q103" s="33"/>
      <c r="R103" s="27">
        <f>S103+T103+U103</f>
        <v>0</v>
      </c>
      <c r="S103" s="33"/>
      <c r="T103" s="33"/>
      <c r="U103" s="33"/>
      <c r="V103" s="29">
        <f t="shared" si="45"/>
        <v>0</v>
      </c>
    </row>
    <row r="104" spans="1:22" ht="28.5" customHeight="1">
      <c r="A104" s="19" t="s">
        <v>60</v>
      </c>
      <c r="B104" s="60" t="s">
        <v>61</v>
      </c>
      <c r="C104" s="21" t="s">
        <v>12</v>
      </c>
      <c r="D104" s="21" t="s">
        <v>12</v>
      </c>
      <c r="E104" s="21" t="s">
        <v>12</v>
      </c>
      <c r="F104" s="45">
        <f t="shared" ref="F104:F130" si="138">G104+H104+I104</f>
        <v>9517.7000000000007</v>
      </c>
      <c r="G104" s="45">
        <f>G105+G110</f>
        <v>2005.9</v>
      </c>
      <c r="H104" s="45">
        <f t="shared" ref="H104:I104" si="139">H105+H110</f>
        <v>7511.8</v>
      </c>
      <c r="I104" s="45">
        <f t="shared" si="139"/>
        <v>0</v>
      </c>
      <c r="J104" s="45">
        <f t="shared" ref="J104:J105" si="140">K104+L104+M104</f>
        <v>6024.3</v>
      </c>
      <c r="K104" s="45">
        <f>K105+K110</f>
        <v>1970.9</v>
      </c>
      <c r="L104" s="45">
        <f t="shared" ref="L104:M104" si="141">L105+L110</f>
        <v>4053.4</v>
      </c>
      <c r="M104" s="45">
        <f t="shared" si="141"/>
        <v>0</v>
      </c>
      <c r="N104" s="45">
        <f t="shared" ref="N104:N105" si="142">O104+P104+Q104</f>
        <v>65202.400000000001</v>
      </c>
      <c r="O104" s="45">
        <f>O105+O110</f>
        <v>3828.8</v>
      </c>
      <c r="P104" s="45">
        <f t="shared" ref="P104:Q104" si="143">P105+P110</f>
        <v>61373.599999999999</v>
      </c>
      <c r="Q104" s="45">
        <f t="shared" si="143"/>
        <v>0</v>
      </c>
      <c r="R104" s="45">
        <f t="shared" ref="R104:R105" si="144">S104+T104+U104</f>
        <v>259397.1</v>
      </c>
      <c r="S104" s="45">
        <f>S105+S110</f>
        <v>9654.6</v>
      </c>
      <c r="T104" s="45">
        <f t="shared" ref="T104:U104" si="145">T105+T110</f>
        <v>249742.5</v>
      </c>
      <c r="U104" s="45">
        <f t="shared" si="145"/>
        <v>0</v>
      </c>
      <c r="V104" s="46">
        <f t="shared" si="45"/>
        <v>0.63300000000000001</v>
      </c>
    </row>
    <row r="105" spans="1:22" ht="37.5" customHeight="1">
      <c r="A105" s="11" t="s">
        <v>62</v>
      </c>
      <c r="B105" s="25" t="s">
        <v>66</v>
      </c>
      <c r="C105" s="37" t="s">
        <v>12</v>
      </c>
      <c r="D105" s="37" t="s">
        <v>12</v>
      </c>
      <c r="E105" s="26" t="s">
        <v>12</v>
      </c>
      <c r="F105" s="28">
        <f t="shared" si="138"/>
        <v>7587.7</v>
      </c>
      <c r="G105" s="28">
        <f>SUM(G106:G109)</f>
        <v>75.900000000000006</v>
      </c>
      <c r="H105" s="28">
        <f>SUM(H106:H109)</f>
        <v>7511.8</v>
      </c>
      <c r="I105" s="28">
        <f>SUM(I106:I109)</f>
        <v>0</v>
      </c>
      <c r="J105" s="28">
        <f t="shared" si="140"/>
        <v>4094.3</v>
      </c>
      <c r="K105" s="28">
        <f>SUM(K106:K109)</f>
        <v>40.9</v>
      </c>
      <c r="L105" s="28">
        <f>SUM(L106:L109)</f>
        <v>4053.4</v>
      </c>
      <c r="M105" s="28">
        <f>SUM(M106:M109)</f>
        <v>0</v>
      </c>
      <c r="N105" s="27">
        <f t="shared" si="142"/>
        <v>63272.4</v>
      </c>
      <c r="O105" s="28">
        <f>SUM(O107:O109)</f>
        <v>1898.8</v>
      </c>
      <c r="P105" s="28">
        <f t="shared" ref="P105:Q105" si="146">SUM(P107:P109)</f>
        <v>61373.599999999999</v>
      </c>
      <c r="Q105" s="28">
        <f t="shared" si="146"/>
        <v>0</v>
      </c>
      <c r="R105" s="27">
        <f t="shared" si="144"/>
        <v>257467.1</v>
      </c>
      <c r="S105" s="28">
        <f>SUM(S107:S109)</f>
        <v>7724.6</v>
      </c>
      <c r="T105" s="28">
        <f t="shared" ref="T105:U105" si="147">SUM(T107:T109)</f>
        <v>249742.5</v>
      </c>
      <c r="U105" s="28">
        <f t="shared" si="147"/>
        <v>0</v>
      </c>
      <c r="V105" s="38">
        <f t="shared" ref="V105:V130" si="148">J105/F105</f>
        <v>0.54</v>
      </c>
    </row>
    <row r="106" spans="1:22" ht="18.75">
      <c r="A106" s="24"/>
      <c r="B106" s="61" t="s">
        <v>15</v>
      </c>
      <c r="C106" s="62"/>
      <c r="D106" s="62"/>
      <c r="E106" s="62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38"/>
    </row>
    <row r="107" spans="1:22" ht="156" customHeight="1">
      <c r="A107" s="24"/>
      <c r="B107" s="41" t="s">
        <v>290</v>
      </c>
      <c r="C107" s="36" t="s">
        <v>280</v>
      </c>
      <c r="D107" s="36" t="s">
        <v>48</v>
      </c>
      <c r="E107" s="35" t="s">
        <v>228</v>
      </c>
      <c r="F107" s="28">
        <f t="shared" si="138"/>
        <v>0</v>
      </c>
      <c r="G107" s="28">
        <v>0</v>
      </c>
      <c r="H107" s="28"/>
      <c r="I107" s="28"/>
      <c r="J107" s="28">
        <f t="shared" ref="J107:J109" si="149">K107+L107+M107</f>
        <v>0</v>
      </c>
      <c r="K107" s="28"/>
      <c r="L107" s="28"/>
      <c r="M107" s="28"/>
      <c r="N107" s="28">
        <f t="shared" ref="N107:N109" si="150">O107+P107+Q107</f>
        <v>56053</v>
      </c>
      <c r="O107" s="33">
        <v>1681.6</v>
      </c>
      <c r="P107" s="33">
        <v>54371.4</v>
      </c>
      <c r="Q107" s="28"/>
      <c r="R107" s="28">
        <f t="shared" ref="R107:R109" si="151">S107+T107+U107</f>
        <v>250247.7</v>
      </c>
      <c r="S107" s="33">
        <v>7507.4</v>
      </c>
      <c r="T107" s="33">
        <v>242740.3</v>
      </c>
      <c r="U107" s="28"/>
      <c r="V107" s="63"/>
    </row>
    <row r="108" spans="1:22" ht="60.75" customHeight="1">
      <c r="A108" s="24"/>
      <c r="B108" s="41" t="s">
        <v>291</v>
      </c>
      <c r="C108" s="36" t="s">
        <v>257</v>
      </c>
      <c r="D108" s="36" t="s">
        <v>17</v>
      </c>
      <c r="E108" s="35" t="s">
        <v>289</v>
      </c>
      <c r="F108" s="28">
        <f t="shared" si="138"/>
        <v>7587.7</v>
      </c>
      <c r="G108" s="28">
        <v>75.900000000000006</v>
      </c>
      <c r="H108" s="33">
        <v>7511.8</v>
      </c>
      <c r="I108" s="28"/>
      <c r="J108" s="28">
        <f t="shared" si="149"/>
        <v>4094.3</v>
      </c>
      <c r="K108" s="28">
        <v>40.9</v>
      </c>
      <c r="L108" s="28">
        <v>4053.4</v>
      </c>
      <c r="M108" s="28"/>
      <c r="N108" s="28">
        <f t="shared" si="150"/>
        <v>0</v>
      </c>
      <c r="O108" s="33">
        <v>0</v>
      </c>
      <c r="P108" s="33">
        <v>0</v>
      </c>
      <c r="Q108" s="28"/>
      <c r="R108" s="28">
        <f t="shared" si="151"/>
        <v>0</v>
      </c>
      <c r="S108" s="33">
        <v>0</v>
      </c>
      <c r="T108" s="33">
        <v>0</v>
      </c>
      <c r="U108" s="28"/>
      <c r="V108" s="63">
        <f t="shared" si="148"/>
        <v>0.54</v>
      </c>
    </row>
    <row r="109" spans="1:22" ht="153.75" customHeight="1">
      <c r="A109" s="24"/>
      <c r="B109" s="41" t="s">
        <v>220</v>
      </c>
      <c r="C109" s="36" t="s">
        <v>292</v>
      </c>
      <c r="D109" s="36" t="s">
        <v>230</v>
      </c>
      <c r="E109" s="35" t="s">
        <v>219</v>
      </c>
      <c r="F109" s="28">
        <f t="shared" si="138"/>
        <v>0</v>
      </c>
      <c r="G109" s="28">
        <f>1359.4-1359.4</f>
        <v>0</v>
      </c>
      <c r="H109" s="33"/>
      <c r="I109" s="28"/>
      <c r="J109" s="28">
        <f t="shared" si="149"/>
        <v>0</v>
      </c>
      <c r="K109" s="28"/>
      <c r="L109" s="28"/>
      <c r="M109" s="28"/>
      <c r="N109" s="28">
        <f t="shared" si="150"/>
        <v>7219.4</v>
      </c>
      <c r="O109" s="33">
        <v>217.2</v>
      </c>
      <c r="P109" s="33">
        <v>7002.2</v>
      </c>
      <c r="Q109" s="28"/>
      <c r="R109" s="28">
        <f t="shared" si="151"/>
        <v>7219.4</v>
      </c>
      <c r="S109" s="33">
        <v>217.2</v>
      </c>
      <c r="T109" s="33">
        <v>7002.2</v>
      </c>
      <c r="U109" s="28"/>
      <c r="V109" s="63" t="e">
        <f t="shared" si="148"/>
        <v>#DIV/0!</v>
      </c>
    </row>
    <row r="110" spans="1:22" ht="39.75" customHeight="1">
      <c r="A110" s="24" t="s">
        <v>63</v>
      </c>
      <c r="B110" s="48" t="s">
        <v>341</v>
      </c>
      <c r="C110" s="62" t="s">
        <v>12</v>
      </c>
      <c r="D110" s="62" t="s">
        <v>12</v>
      </c>
      <c r="E110" s="62" t="s">
        <v>12</v>
      </c>
      <c r="F110" s="28">
        <f t="shared" si="138"/>
        <v>1930</v>
      </c>
      <c r="G110" s="28">
        <f>SUM(G112:G112)</f>
        <v>1930</v>
      </c>
      <c r="H110" s="28">
        <f>SUM(H112:H112)</f>
        <v>0</v>
      </c>
      <c r="I110" s="28">
        <f>SUM(I112:I112)</f>
        <v>0</v>
      </c>
      <c r="J110" s="27">
        <f t="shared" ref="J110" si="152">K110+L110+M110</f>
        <v>1930</v>
      </c>
      <c r="K110" s="28">
        <f>SUM(K112:K112)</f>
        <v>1930</v>
      </c>
      <c r="L110" s="28">
        <f>SUM(L112:L112)</f>
        <v>0</v>
      </c>
      <c r="M110" s="28">
        <f>SUM(M112:M112)</f>
        <v>0</v>
      </c>
      <c r="N110" s="28">
        <f t="shared" ref="N110" si="153">O110+P110+Q110</f>
        <v>1930</v>
      </c>
      <c r="O110" s="28">
        <f>SUM(O112:O112)</f>
        <v>1930</v>
      </c>
      <c r="P110" s="28">
        <f>SUM(P112:P112)</f>
        <v>0</v>
      </c>
      <c r="Q110" s="28">
        <f>SUM(Q112:Q112)</f>
        <v>0</v>
      </c>
      <c r="R110" s="28">
        <f t="shared" ref="R110" si="154">S110+T110+U110</f>
        <v>1930</v>
      </c>
      <c r="S110" s="28">
        <f>SUM(S112)</f>
        <v>1930</v>
      </c>
      <c r="T110" s="28">
        <f t="shared" ref="T110:U110" si="155">SUM(T112)</f>
        <v>0</v>
      </c>
      <c r="U110" s="28">
        <f t="shared" si="155"/>
        <v>0</v>
      </c>
      <c r="V110" s="38">
        <f t="shared" si="148"/>
        <v>1</v>
      </c>
    </row>
    <row r="111" spans="1:22" ht="18.75">
      <c r="A111" s="39"/>
      <c r="B111" s="61" t="s">
        <v>15</v>
      </c>
      <c r="C111" s="32"/>
      <c r="D111" s="42"/>
      <c r="E111" s="64"/>
      <c r="F111" s="28"/>
      <c r="G111" s="28"/>
      <c r="H111" s="28"/>
      <c r="I111" s="28"/>
      <c r="J111" s="27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38"/>
    </row>
    <row r="112" spans="1:22" ht="74.25" customHeight="1">
      <c r="A112" s="39"/>
      <c r="B112" s="41" t="s">
        <v>108</v>
      </c>
      <c r="C112" s="36" t="s">
        <v>293</v>
      </c>
      <c r="D112" s="36" t="s">
        <v>65</v>
      </c>
      <c r="E112" s="59" t="s">
        <v>163</v>
      </c>
      <c r="F112" s="28">
        <f t="shared" ref="F112" si="156">G112+H112+I112</f>
        <v>1930</v>
      </c>
      <c r="G112" s="33">
        <v>1930</v>
      </c>
      <c r="H112" s="33"/>
      <c r="I112" s="33"/>
      <c r="J112" s="27">
        <f t="shared" ref="J112" si="157">K112+L112+M112</f>
        <v>1930</v>
      </c>
      <c r="K112" s="33">
        <f>9+1921</f>
        <v>1930</v>
      </c>
      <c r="L112" s="33"/>
      <c r="M112" s="33"/>
      <c r="N112" s="28">
        <f t="shared" ref="N112" si="158">O112+P112+Q112</f>
        <v>1930</v>
      </c>
      <c r="O112" s="33">
        <v>1930</v>
      </c>
      <c r="P112" s="33"/>
      <c r="Q112" s="33"/>
      <c r="R112" s="28">
        <f t="shared" ref="R112" si="159">S112+T112+U112</f>
        <v>1930</v>
      </c>
      <c r="S112" s="33">
        <v>1930</v>
      </c>
      <c r="T112" s="33"/>
      <c r="U112" s="33"/>
      <c r="V112" s="63">
        <f t="shared" ref="V112" si="160">J112/F112</f>
        <v>1</v>
      </c>
    </row>
    <row r="113" spans="1:101" s="66" customFormat="1" ht="33">
      <c r="A113" s="19" t="s">
        <v>67</v>
      </c>
      <c r="B113" s="60" t="s">
        <v>68</v>
      </c>
      <c r="C113" s="21" t="s">
        <v>12</v>
      </c>
      <c r="D113" s="21" t="s">
        <v>12</v>
      </c>
      <c r="E113" s="21" t="s">
        <v>12</v>
      </c>
      <c r="F113" s="45">
        <f t="shared" si="138"/>
        <v>3866370.8</v>
      </c>
      <c r="G113" s="45">
        <f>G114+G119+G124</f>
        <v>493432.4</v>
      </c>
      <c r="H113" s="45">
        <f t="shared" ref="H113:I113" si="161">H114+H119+H124</f>
        <v>3234847</v>
      </c>
      <c r="I113" s="45">
        <f t="shared" si="161"/>
        <v>138091.4</v>
      </c>
      <c r="J113" s="45">
        <f t="shared" ref="J113:J114" si="162">K113+L113+M113</f>
        <v>575968.30000000005</v>
      </c>
      <c r="K113" s="45">
        <f>K114+K119+K124</f>
        <v>76559.7</v>
      </c>
      <c r="L113" s="45">
        <f t="shared" ref="L113:M113" si="163">L114+L119+L124</f>
        <v>435816.2</v>
      </c>
      <c r="M113" s="45">
        <f t="shared" si="163"/>
        <v>63592.4</v>
      </c>
      <c r="N113" s="45">
        <f t="shared" ref="N113:N114" si="164">O113+P113+Q113</f>
        <v>3364572.7</v>
      </c>
      <c r="O113" s="45">
        <f>O114+O119+O124</f>
        <v>961523.8</v>
      </c>
      <c r="P113" s="45">
        <f>P114+P119+P124</f>
        <v>2337203.7999999998</v>
      </c>
      <c r="Q113" s="45">
        <f t="shared" ref="Q113" si="165">Q114+Q119+Q124</f>
        <v>65845.100000000006</v>
      </c>
      <c r="R113" s="45">
        <f t="shared" ref="R113:R114" si="166">S113+T113+U113</f>
        <v>688396.6</v>
      </c>
      <c r="S113" s="45">
        <f>S114+S119+S124</f>
        <v>66336.800000000003</v>
      </c>
      <c r="T113" s="45">
        <f t="shared" ref="T113:U113" si="167">T114+T119+T124</f>
        <v>561814.69999999995</v>
      </c>
      <c r="U113" s="45">
        <f t="shared" si="167"/>
        <v>60245.1</v>
      </c>
      <c r="V113" s="46">
        <f t="shared" si="148"/>
        <v>0.14899999999999999</v>
      </c>
      <c r="W113" s="3"/>
      <c r="X113" s="97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</row>
    <row r="114" spans="1:101" ht="33">
      <c r="A114" s="11" t="s">
        <v>69</v>
      </c>
      <c r="B114" s="25" t="s">
        <v>70</v>
      </c>
      <c r="C114" s="37" t="s">
        <v>12</v>
      </c>
      <c r="D114" s="37" t="s">
        <v>12</v>
      </c>
      <c r="E114" s="37" t="s">
        <v>12</v>
      </c>
      <c r="F114" s="28">
        <f t="shared" si="138"/>
        <v>631583.19999999995</v>
      </c>
      <c r="G114" s="28">
        <f>SUM(G116:G118)</f>
        <v>25197.599999999999</v>
      </c>
      <c r="H114" s="28">
        <f t="shared" ref="H114:I114" si="168">SUM(H116:H118)</f>
        <v>572082.5</v>
      </c>
      <c r="I114" s="28">
        <f t="shared" si="168"/>
        <v>34303.1</v>
      </c>
      <c r="J114" s="28">
        <f t="shared" si="162"/>
        <v>175032.9</v>
      </c>
      <c r="K114" s="28">
        <f>SUM(K116:K118)</f>
        <v>3676.6</v>
      </c>
      <c r="L114" s="28">
        <f t="shared" ref="L114:M114" si="169">SUM(L116:L118)</f>
        <v>164579.6</v>
      </c>
      <c r="M114" s="28">
        <f t="shared" si="169"/>
        <v>6776.7</v>
      </c>
      <c r="N114" s="27">
        <f t="shared" si="164"/>
        <v>395081.1</v>
      </c>
      <c r="O114" s="28">
        <f>SUM(O116:O118)</f>
        <v>11197.6</v>
      </c>
      <c r="P114" s="28">
        <f t="shared" ref="P114:Q114" si="170">SUM(P116:P118)</f>
        <v>362056.5</v>
      </c>
      <c r="Q114" s="28">
        <f t="shared" si="170"/>
        <v>21827</v>
      </c>
      <c r="R114" s="27">
        <f t="shared" si="166"/>
        <v>430953.8</v>
      </c>
      <c r="S114" s="28">
        <f>SUM(S116:S118)</f>
        <v>12441.8</v>
      </c>
      <c r="T114" s="28">
        <f t="shared" ref="T114:U114" si="171">SUM(T116:T118)</f>
        <v>402285</v>
      </c>
      <c r="U114" s="28">
        <f t="shared" si="171"/>
        <v>16227</v>
      </c>
      <c r="V114" s="38">
        <f t="shared" si="148"/>
        <v>0.27700000000000002</v>
      </c>
      <c r="X114" s="18"/>
      <c r="Y114" s="18"/>
    </row>
    <row r="115" spans="1:101" ht="18.75">
      <c r="A115" s="14"/>
      <c r="B115" s="31" t="s">
        <v>15</v>
      </c>
      <c r="C115" s="57"/>
      <c r="D115" s="57"/>
      <c r="E115" s="57"/>
      <c r="F115" s="28"/>
      <c r="G115" s="28"/>
      <c r="H115" s="28"/>
      <c r="I115" s="28"/>
      <c r="J115" s="28"/>
      <c r="K115" s="28"/>
      <c r="L115" s="28"/>
      <c r="M115" s="28"/>
      <c r="N115" s="27"/>
      <c r="O115" s="28"/>
      <c r="P115" s="28"/>
      <c r="Q115" s="28"/>
      <c r="R115" s="27"/>
      <c r="S115" s="28"/>
      <c r="T115" s="28"/>
      <c r="U115" s="28"/>
      <c r="V115" s="38"/>
    </row>
    <row r="116" spans="1:101" ht="74.25" customHeight="1">
      <c r="A116" s="39"/>
      <c r="B116" s="41" t="s">
        <v>295</v>
      </c>
      <c r="C116" s="35" t="s">
        <v>258</v>
      </c>
      <c r="D116" s="36" t="s">
        <v>19</v>
      </c>
      <c r="E116" s="35" t="s">
        <v>294</v>
      </c>
      <c r="F116" s="28">
        <f t="shared" si="138"/>
        <v>159000</v>
      </c>
      <c r="G116" s="28">
        <v>14000</v>
      </c>
      <c r="H116" s="28">
        <v>140000</v>
      </c>
      <c r="I116" s="28">
        <v>5000</v>
      </c>
      <c r="J116" s="28">
        <f t="shared" ref="J116:J119" si="172">K116+L116+M116</f>
        <v>45702.2</v>
      </c>
      <c r="K116" s="28"/>
      <c r="L116" s="28">
        <v>45702.2</v>
      </c>
      <c r="M116" s="28"/>
      <c r="N116" s="27">
        <f t="shared" ref="N116:N119" si="173">O116+P116+Q116</f>
        <v>0</v>
      </c>
      <c r="O116" s="28">
        <v>0</v>
      </c>
      <c r="P116" s="28">
        <v>0</v>
      </c>
      <c r="Q116" s="28"/>
      <c r="R116" s="27">
        <f t="shared" ref="R116:R119" si="174">S116+T116+U116</f>
        <v>0</v>
      </c>
      <c r="S116" s="28">
        <v>0</v>
      </c>
      <c r="T116" s="28">
        <v>0</v>
      </c>
      <c r="U116" s="28"/>
      <c r="V116" s="63">
        <f t="shared" si="148"/>
        <v>0.28699999999999998</v>
      </c>
      <c r="X116"/>
    </row>
    <row r="117" spans="1:101" ht="105.75" customHeight="1">
      <c r="A117" s="39"/>
      <c r="B117" s="41" t="s">
        <v>373</v>
      </c>
      <c r="C117" s="35" t="s">
        <v>258</v>
      </c>
      <c r="D117" s="36" t="s">
        <v>19</v>
      </c>
      <c r="E117" s="35" t="s">
        <v>372</v>
      </c>
      <c r="F117" s="28">
        <f t="shared" si="138"/>
        <v>70026</v>
      </c>
      <c r="G117" s="28"/>
      <c r="H117" s="28">
        <v>70026</v>
      </c>
      <c r="I117" s="28"/>
      <c r="J117" s="28">
        <f t="shared" si="172"/>
        <v>0</v>
      </c>
      <c r="K117" s="28"/>
      <c r="L117" s="28"/>
      <c r="M117" s="28"/>
      <c r="N117" s="27">
        <f t="shared" si="173"/>
        <v>0</v>
      </c>
      <c r="O117" s="28"/>
      <c r="P117" s="28"/>
      <c r="Q117" s="28"/>
      <c r="R117" s="27">
        <f t="shared" si="174"/>
        <v>0</v>
      </c>
      <c r="S117" s="28"/>
      <c r="T117" s="28"/>
      <c r="U117" s="28"/>
      <c r="V117" s="63">
        <f t="shared" si="148"/>
        <v>0</v>
      </c>
      <c r="X117"/>
    </row>
    <row r="118" spans="1:101" ht="36.75" customHeight="1">
      <c r="A118" s="39"/>
      <c r="B118" s="41" t="s">
        <v>71</v>
      </c>
      <c r="C118" s="35" t="s">
        <v>258</v>
      </c>
      <c r="D118" s="36" t="s">
        <v>19</v>
      </c>
      <c r="E118" s="35" t="s">
        <v>155</v>
      </c>
      <c r="F118" s="28">
        <f t="shared" si="138"/>
        <v>402557.2</v>
      </c>
      <c r="G118" s="33">
        <v>11197.6</v>
      </c>
      <c r="H118" s="33">
        <v>362056.5</v>
      </c>
      <c r="I118" s="33">
        <v>29303.1</v>
      </c>
      <c r="J118" s="28">
        <f t="shared" si="172"/>
        <v>129330.7</v>
      </c>
      <c r="K118" s="33">
        <v>3676.6</v>
      </c>
      <c r="L118" s="33">
        <v>118877.4</v>
      </c>
      <c r="M118" s="33">
        <v>6776.7</v>
      </c>
      <c r="N118" s="27">
        <f t="shared" si="173"/>
        <v>395081.1</v>
      </c>
      <c r="O118" s="33">
        <v>11197.6</v>
      </c>
      <c r="P118" s="33">
        <v>362056.5</v>
      </c>
      <c r="Q118" s="33">
        <v>21827</v>
      </c>
      <c r="R118" s="27">
        <f t="shared" si="174"/>
        <v>430953.8</v>
      </c>
      <c r="S118" s="33">
        <v>12441.8</v>
      </c>
      <c r="T118" s="33">
        <v>402285</v>
      </c>
      <c r="U118" s="33">
        <v>16227</v>
      </c>
      <c r="V118" s="63">
        <f t="shared" si="148"/>
        <v>0.32100000000000001</v>
      </c>
      <c r="X118"/>
    </row>
    <row r="119" spans="1:101" ht="49.5">
      <c r="A119" s="24" t="s">
        <v>72</v>
      </c>
      <c r="B119" s="48" t="s">
        <v>215</v>
      </c>
      <c r="C119" s="26" t="s">
        <v>12</v>
      </c>
      <c r="D119" s="26" t="s">
        <v>12</v>
      </c>
      <c r="E119" s="26" t="s">
        <v>12</v>
      </c>
      <c r="F119" s="28">
        <f>G119+H119+I119</f>
        <v>2999782.7</v>
      </c>
      <c r="G119" s="28">
        <f>SUM(G121:G123)</f>
        <v>442743.3</v>
      </c>
      <c r="H119" s="28">
        <f>SUM(H121:H123)</f>
        <v>2462120.2999999998</v>
      </c>
      <c r="I119" s="88">
        <v>94919.1</v>
      </c>
      <c r="J119" s="28">
        <f t="shared" si="172"/>
        <v>285198.59999999998</v>
      </c>
      <c r="K119" s="28">
        <f>SUM(K121:K123)</f>
        <v>60655.5</v>
      </c>
      <c r="L119" s="28">
        <f>SUM(L121:L123)</f>
        <v>170082.2</v>
      </c>
      <c r="M119" s="28">
        <v>54460.9</v>
      </c>
      <c r="N119" s="27">
        <f t="shared" si="173"/>
        <v>2612200.1</v>
      </c>
      <c r="O119" s="28">
        <f>SUM(O121:O123)</f>
        <v>940551.2</v>
      </c>
      <c r="P119" s="28">
        <f>SUM(P121:P123)</f>
        <v>1627630.8</v>
      </c>
      <c r="Q119" s="94">
        <v>44018.1</v>
      </c>
      <c r="R119" s="27">
        <f t="shared" si="174"/>
        <v>88138.1</v>
      </c>
      <c r="S119" s="28">
        <f>SUM(S121:S123)</f>
        <v>44120</v>
      </c>
      <c r="T119" s="28">
        <f>SUM(T121:T123)</f>
        <v>0</v>
      </c>
      <c r="U119" s="28">
        <v>44018.1</v>
      </c>
      <c r="V119" s="38">
        <f t="shared" si="148"/>
        <v>9.5000000000000001E-2</v>
      </c>
      <c r="X119" s="97"/>
    </row>
    <row r="120" spans="1:101" ht="18.75">
      <c r="A120" s="24"/>
      <c r="B120" s="61" t="s">
        <v>15</v>
      </c>
      <c r="C120" s="62"/>
      <c r="D120" s="62"/>
      <c r="E120" s="62"/>
      <c r="F120" s="28"/>
      <c r="G120" s="28"/>
      <c r="H120" s="28"/>
      <c r="I120" s="28"/>
      <c r="J120" s="28"/>
      <c r="K120" s="28"/>
      <c r="L120" s="28"/>
      <c r="M120" s="28"/>
      <c r="N120" s="27"/>
      <c r="O120" s="28"/>
      <c r="P120" s="28"/>
      <c r="Q120" s="28"/>
      <c r="R120" s="27"/>
      <c r="S120" s="28"/>
      <c r="T120" s="28"/>
      <c r="U120" s="28"/>
      <c r="V120" s="38"/>
    </row>
    <row r="121" spans="1:101" ht="49.5">
      <c r="A121" s="24"/>
      <c r="B121" s="41" t="s">
        <v>296</v>
      </c>
      <c r="C121" s="35">
        <v>821</v>
      </c>
      <c r="D121" s="36" t="s">
        <v>19</v>
      </c>
      <c r="E121" s="35" t="s">
        <v>297</v>
      </c>
      <c r="F121" s="28">
        <f t="shared" si="138"/>
        <v>0</v>
      </c>
      <c r="G121" s="33">
        <v>0</v>
      </c>
      <c r="H121" s="33"/>
      <c r="I121" s="33"/>
      <c r="J121" s="28">
        <f t="shared" ref="J121:J124" si="175">K121+L121+M121</f>
        <v>0</v>
      </c>
      <c r="K121" s="33"/>
      <c r="L121" s="33"/>
      <c r="M121" s="33"/>
      <c r="N121" s="27">
        <f t="shared" ref="N121:N124" si="176">O121+P121+Q121</f>
        <v>0</v>
      </c>
      <c r="O121" s="33">
        <v>0</v>
      </c>
      <c r="P121" s="33"/>
      <c r="Q121" s="33"/>
      <c r="R121" s="27">
        <f t="shared" ref="R121:R124" si="177">S121+T121+U121</f>
        <v>0</v>
      </c>
      <c r="S121" s="33">
        <v>0</v>
      </c>
      <c r="T121" s="33"/>
      <c r="U121" s="33"/>
      <c r="V121" s="63" t="e">
        <f t="shared" si="148"/>
        <v>#DIV/0!</v>
      </c>
    </row>
    <row r="122" spans="1:101" ht="82.5">
      <c r="A122" s="24"/>
      <c r="B122" s="41" t="s">
        <v>298</v>
      </c>
      <c r="C122" s="35">
        <v>821</v>
      </c>
      <c r="D122" s="36" t="s">
        <v>19</v>
      </c>
      <c r="E122" s="35" t="s">
        <v>156</v>
      </c>
      <c r="F122" s="28">
        <f t="shared" si="138"/>
        <v>2462120.2999999998</v>
      </c>
      <c r="G122" s="33"/>
      <c r="H122" s="33">
        <v>2462120.2999999998</v>
      </c>
      <c r="I122" s="33"/>
      <c r="J122" s="28">
        <f t="shared" si="175"/>
        <v>170082.2</v>
      </c>
      <c r="K122" s="33"/>
      <c r="L122" s="33">
        <v>170082.2</v>
      </c>
      <c r="M122" s="33"/>
      <c r="N122" s="27">
        <f t="shared" si="176"/>
        <v>1627630.8</v>
      </c>
      <c r="O122" s="33"/>
      <c r="P122" s="33">
        <f>1376608.2-266192.6+517215.21</f>
        <v>1627630.8</v>
      </c>
      <c r="Q122" s="33"/>
      <c r="R122" s="27">
        <f t="shared" si="177"/>
        <v>0</v>
      </c>
      <c r="S122" s="33"/>
      <c r="T122" s="33"/>
      <c r="U122" s="33"/>
      <c r="V122" s="63">
        <f t="shared" ref="V122:V123" si="178">J122/F122</f>
        <v>6.9000000000000006E-2</v>
      </c>
    </row>
    <row r="123" spans="1:101" ht="47.25" customHeight="1">
      <c r="A123" s="24"/>
      <c r="B123" s="41" t="s">
        <v>107</v>
      </c>
      <c r="C123" s="35" t="s">
        <v>258</v>
      </c>
      <c r="D123" s="36" t="s">
        <v>19</v>
      </c>
      <c r="E123" s="35" t="s">
        <v>177</v>
      </c>
      <c r="F123" s="28">
        <f t="shared" ref="F123" si="179">G123+H123+I123</f>
        <v>442743.3</v>
      </c>
      <c r="G123" s="33">
        <v>442743.3</v>
      </c>
      <c r="H123" s="33"/>
      <c r="I123" s="33"/>
      <c r="J123" s="28">
        <f t="shared" ref="J123" si="180">K123+L123+M123</f>
        <v>60655.5</v>
      </c>
      <c r="K123" s="33">
        <v>60655.5</v>
      </c>
      <c r="L123" s="33"/>
      <c r="M123" s="33"/>
      <c r="N123" s="27">
        <f t="shared" ref="N123" si="181">O123+P123+Q123</f>
        <v>940551.2</v>
      </c>
      <c r="O123" s="33">
        <v>940551.2</v>
      </c>
      <c r="P123" s="33"/>
      <c r="Q123" s="33"/>
      <c r="R123" s="27">
        <f t="shared" ref="R123" si="182">S123+T123+U123</f>
        <v>44120</v>
      </c>
      <c r="S123" s="33">
        <v>44120</v>
      </c>
      <c r="T123" s="33"/>
      <c r="U123" s="33"/>
      <c r="V123" s="63">
        <f t="shared" si="178"/>
        <v>0.13700000000000001</v>
      </c>
    </row>
    <row r="124" spans="1:101" ht="27.75" customHeight="1">
      <c r="A124" s="24" t="s">
        <v>214</v>
      </c>
      <c r="B124" s="48" t="s">
        <v>333</v>
      </c>
      <c r="C124" s="62" t="s">
        <v>12</v>
      </c>
      <c r="D124" s="62" t="s">
        <v>12</v>
      </c>
      <c r="E124" s="62" t="s">
        <v>12</v>
      </c>
      <c r="F124" s="28">
        <f>G124+H124+I124</f>
        <v>235004.9</v>
      </c>
      <c r="G124" s="28">
        <f>G128+G126+G127</f>
        <v>25491.5</v>
      </c>
      <c r="H124" s="28">
        <f t="shared" ref="H124:I124" si="183">H128+H126+H127</f>
        <v>200644.2</v>
      </c>
      <c r="I124" s="28">
        <f t="shared" si="183"/>
        <v>8869.2000000000007</v>
      </c>
      <c r="J124" s="28">
        <f t="shared" si="175"/>
        <v>115736.8</v>
      </c>
      <c r="K124" s="28">
        <f>K128+K126+K127</f>
        <v>12227.6</v>
      </c>
      <c r="L124" s="28">
        <f t="shared" ref="L124:M124" si="184">L128+L126+L127</f>
        <v>101154.4</v>
      </c>
      <c r="M124" s="28">
        <f t="shared" si="184"/>
        <v>2354.8000000000002</v>
      </c>
      <c r="N124" s="27">
        <f t="shared" si="176"/>
        <v>357291.5</v>
      </c>
      <c r="O124" s="28">
        <f>O128+O126+O127</f>
        <v>9775</v>
      </c>
      <c r="P124" s="28">
        <f t="shared" ref="P124:Q124" si="185">P128+P126+P127</f>
        <v>347516.5</v>
      </c>
      <c r="Q124" s="28">
        <f t="shared" si="185"/>
        <v>0</v>
      </c>
      <c r="R124" s="27">
        <f t="shared" si="177"/>
        <v>169304.7</v>
      </c>
      <c r="S124" s="28">
        <f>S128+S126+S127</f>
        <v>9775</v>
      </c>
      <c r="T124" s="28">
        <f t="shared" ref="T124:U124" si="186">T128+T126+T127</f>
        <v>159529.70000000001</v>
      </c>
      <c r="U124" s="28">
        <f t="shared" si="186"/>
        <v>0</v>
      </c>
      <c r="V124" s="29">
        <f t="shared" si="148"/>
        <v>0.49199999999999999</v>
      </c>
    </row>
    <row r="125" spans="1:101" ht="18.75">
      <c r="A125" s="39"/>
      <c r="B125" s="61" t="s">
        <v>15</v>
      </c>
      <c r="C125" s="32"/>
      <c r="D125" s="42"/>
      <c r="E125" s="32"/>
      <c r="F125" s="28"/>
      <c r="G125" s="33"/>
      <c r="H125" s="33"/>
      <c r="I125" s="33"/>
      <c r="J125" s="28"/>
      <c r="K125" s="33"/>
      <c r="L125" s="33"/>
      <c r="M125" s="33"/>
      <c r="N125" s="27"/>
      <c r="O125" s="33"/>
      <c r="P125" s="33"/>
      <c r="Q125" s="33"/>
      <c r="R125" s="27"/>
      <c r="S125" s="33"/>
      <c r="T125" s="33"/>
      <c r="U125" s="33"/>
      <c r="V125" s="63"/>
    </row>
    <row r="126" spans="1:101" ht="82.5">
      <c r="A126" s="39"/>
      <c r="B126" s="41" t="s">
        <v>178</v>
      </c>
      <c r="C126" s="35" t="s">
        <v>299</v>
      </c>
      <c r="D126" s="36" t="s">
        <v>82</v>
      </c>
      <c r="E126" s="35" t="s">
        <v>218</v>
      </c>
      <c r="F126" s="28">
        <f t="shared" si="138"/>
        <v>9775</v>
      </c>
      <c r="G126" s="33">
        <v>9775</v>
      </c>
      <c r="H126" s="33"/>
      <c r="I126" s="33"/>
      <c r="J126" s="28">
        <f t="shared" ref="J126:J128" si="187">K126+L126+M126</f>
        <v>9775</v>
      </c>
      <c r="K126" s="33">
        <v>9775</v>
      </c>
      <c r="L126" s="33"/>
      <c r="M126" s="33"/>
      <c r="N126" s="27">
        <f t="shared" ref="N126:N128" si="188">O126+P126+Q126</f>
        <v>9775</v>
      </c>
      <c r="O126" s="33">
        <v>9775</v>
      </c>
      <c r="P126" s="33"/>
      <c r="Q126" s="33"/>
      <c r="R126" s="27">
        <f t="shared" ref="R126:R128" si="189">S126+T126+U126</f>
        <v>9775</v>
      </c>
      <c r="S126" s="33">
        <v>9775</v>
      </c>
      <c r="T126" s="33"/>
      <c r="U126" s="33"/>
      <c r="V126" s="63">
        <f t="shared" si="148"/>
        <v>1</v>
      </c>
    </row>
    <row r="127" spans="1:101" ht="51.75" customHeight="1">
      <c r="A127" s="39"/>
      <c r="B127" s="91" t="s">
        <v>330</v>
      </c>
      <c r="C127" s="92">
        <v>828</v>
      </c>
      <c r="D127" s="93" t="s">
        <v>82</v>
      </c>
      <c r="E127" s="92" t="s">
        <v>331</v>
      </c>
      <c r="F127" s="27">
        <f t="shared" si="138"/>
        <v>11253.9</v>
      </c>
      <c r="G127" s="33">
        <v>9156.5</v>
      </c>
      <c r="H127" s="33"/>
      <c r="I127" s="33">
        <v>2097.4</v>
      </c>
      <c r="J127" s="27">
        <f t="shared" si="187"/>
        <v>0</v>
      </c>
      <c r="K127" s="33"/>
      <c r="L127" s="33"/>
      <c r="M127" s="33"/>
      <c r="N127" s="27">
        <f t="shared" si="188"/>
        <v>0</v>
      </c>
      <c r="O127" s="33"/>
      <c r="P127" s="33"/>
      <c r="Q127" s="33"/>
      <c r="R127" s="27">
        <f t="shared" si="189"/>
        <v>0</v>
      </c>
      <c r="S127" s="33"/>
      <c r="T127" s="33"/>
      <c r="U127" s="33"/>
      <c r="V127" s="63">
        <f t="shared" si="148"/>
        <v>0</v>
      </c>
    </row>
    <row r="128" spans="1:101" ht="61.5" customHeight="1">
      <c r="A128" s="39"/>
      <c r="B128" s="41" t="s">
        <v>81</v>
      </c>
      <c r="C128" s="35" t="s">
        <v>299</v>
      </c>
      <c r="D128" s="36" t="s">
        <v>82</v>
      </c>
      <c r="E128" s="35" t="s">
        <v>217</v>
      </c>
      <c r="F128" s="28">
        <f t="shared" si="138"/>
        <v>213976</v>
      </c>
      <c r="G128" s="33">
        <v>6560</v>
      </c>
      <c r="H128" s="33">
        <v>200644.2</v>
      </c>
      <c r="I128" s="33">
        <v>6771.8</v>
      </c>
      <c r="J128" s="28">
        <f t="shared" si="187"/>
        <v>105961.8</v>
      </c>
      <c r="K128" s="33">
        <v>2452.6</v>
      </c>
      <c r="L128" s="33">
        <v>101154.4</v>
      </c>
      <c r="M128" s="33">
        <v>2354.8000000000002</v>
      </c>
      <c r="N128" s="27">
        <f t="shared" si="188"/>
        <v>347516.5</v>
      </c>
      <c r="O128" s="33">
        <v>0</v>
      </c>
      <c r="P128" s="33">
        <v>347516.5</v>
      </c>
      <c r="Q128" s="33"/>
      <c r="R128" s="27">
        <f t="shared" si="189"/>
        <v>159529.70000000001</v>
      </c>
      <c r="S128" s="33">
        <v>0</v>
      </c>
      <c r="T128" s="33">
        <v>159529.70000000001</v>
      </c>
      <c r="U128" s="33"/>
      <c r="V128" s="63">
        <f t="shared" si="148"/>
        <v>0.495</v>
      </c>
    </row>
    <row r="129" spans="1:101" s="66" customFormat="1" ht="28.5" customHeight="1">
      <c r="A129" s="19" t="s">
        <v>73</v>
      </c>
      <c r="B129" s="20" t="s">
        <v>74</v>
      </c>
      <c r="C129" s="21" t="s">
        <v>12</v>
      </c>
      <c r="D129" s="21" t="s">
        <v>12</v>
      </c>
      <c r="E129" s="21" t="s">
        <v>12</v>
      </c>
      <c r="F129" s="45">
        <f t="shared" si="138"/>
        <v>107066.1</v>
      </c>
      <c r="G129" s="45">
        <f>G130+G135+G138</f>
        <v>11749.5</v>
      </c>
      <c r="H129" s="45">
        <f>H130+H135+H138</f>
        <v>91400.1</v>
      </c>
      <c r="I129" s="45">
        <f>I130+I135+I138</f>
        <v>3916.5</v>
      </c>
      <c r="J129" s="45">
        <f t="shared" ref="J129:J130" si="190">K129+L129+M129</f>
        <v>14998.7</v>
      </c>
      <c r="K129" s="45">
        <f>K130+K135+K138</f>
        <v>1122.0999999999999</v>
      </c>
      <c r="L129" s="45">
        <f>L130+L135+L138</f>
        <v>13502.5</v>
      </c>
      <c r="M129" s="45">
        <f>M130+M135+M138</f>
        <v>374.1</v>
      </c>
      <c r="N129" s="45">
        <f t="shared" ref="N129:N130" si="191">O129+P129+Q129</f>
        <v>140002.70000000001</v>
      </c>
      <c r="O129" s="45">
        <f>O130+O135+O138</f>
        <v>12210</v>
      </c>
      <c r="P129" s="45">
        <f>P130+P135+P138</f>
        <v>123722.7</v>
      </c>
      <c r="Q129" s="45">
        <f>Q130+Q135+Q138</f>
        <v>4070</v>
      </c>
      <c r="R129" s="45">
        <f t="shared" ref="R129:R130" si="192">S129+T129+U129</f>
        <v>154447.79999999999</v>
      </c>
      <c r="S129" s="45">
        <f>S130+S135+S138</f>
        <v>10726.2</v>
      </c>
      <c r="T129" s="45">
        <f>T130+T135+T138</f>
        <v>143721.60000000001</v>
      </c>
      <c r="U129" s="45">
        <f>U130+U135+U138</f>
        <v>0</v>
      </c>
      <c r="V129" s="46">
        <f t="shared" si="148"/>
        <v>0.14000000000000001</v>
      </c>
      <c r="W129" s="3"/>
      <c r="X129" s="18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</row>
    <row r="130" spans="1:101" ht="33">
      <c r="A130" s="11" t="s">
        <v>75</v>
      </c>
      <c r="B130" s="25" t="s">
        <v>76</v>
      </c>
      <c r="C130" s="37" t="s">
        <v>12</v>
      </c>
      <c r="D130" s="37" t="s">
        <v>12</v>
      </c>
      <c r="E130" s="37" t="s">
        <v>12</v>
      </c>
      <c r="F130" s="28">
        <f t="shared" si="138"/>
        <v>9178.7999999999993</v>
      </c>
      <c r="G130" s="28">
        <f>SUM(G132:G133)</f>
        <v>0</v>
      </c>
      <c r="H130" s="28">
        <f>SUM(H132:H133)</f>
        <v>9178.7999999999993</v>
      </c>
      <c r="I130" s="28">
        <f>SUM(I132:I133)</f>
        <v>0</v>
      </c>
      <c r="J130" s="28">
        <f t="shared" si="190"/>
        <v>5405.8</v>
      </c>
      <c r="K130" s="28">
        <f>SUM(K132:K133)</f>
        <v>0</v>
      </c>
      <c r="L130" s="28">
        <f>SUM(L132:L133)</f>
        <v>5405.8</v>
      </c>
      <c r="M130" s="28">
        <f>SUM(M132:M133)</f>
        <v>0</v>
      </c>
      <c r="N130" s="27">
        <f t="shared" si="191"/>
        <v>16009.3</v>
      </c>
      <c r="O130" s="28">
        <f>SUM(O132:O133)</f>
        <v>0</v>
      </c>
      <c r="P130" s="28">
        <f>SUM(P132:P133)</f>
        <v>16009.3</v>
      </c>
      <c r="Q130" s="28">
        <f>SUM(Q132:Q133)</f>
        <v>0</v>
      </c>
      <c r="R130" s="27">
        <f t="shared" si="192"/>
        <v>34938.6</v>
      </c>
      <c r="S130" s="28">
        <f>SUM(S132:S133)</f>
        <v>0</v>
      </c>
      <c r="T130" s="28">
        <f>SUM(T132:T133)</f>
        <v>34938.6</v>
      </c>
      <c r="U130" s="28">
        <f>SUM(U132:U133)</f>
        <v>0</v>
      </c>
      <c r="V130" s="38">
        <f t="shared" si="148"/>
        <v>0.58899999999999997</v>
      </c>
    </row>
    <row r="131" spans="1:101" ht="18.75">
      <c r="A131" s="14"/>
      <c r="B131" s="31" t="s">
        <v>15</v>
      </c>
      <c r="C131" s="57"/>
      <c r="D131" s="57"/>
      <c r="E131" s="57"/>
      <c r="F131" s="28"/>
      <c r="G131" s="28"/>
      <c r="H131" s="28"/>
      <c r="I131" s="28"/>
      <c r="J131" s="28"/>
      <c r="K131" s="28"/>
      <c r="L131" s="28"/>
      <c r="M131" s="28"/>
      <c r="N131" s="27"/>
      <c r="O131" s="28"/>
      <c r="P131" s="28"/>
      <c r="Q131" s="28"/>
      <c r="R131" s="27"/>
      <c r="S131" s="28"/>
      <c r="T131" s="28"/>
      <c r="U131" s="28"/>
      <c r="V131" s="38"/>
    </row>
    <row r="132" spans="1:101" ht="36.75" customHeight="1">
      <c r="A132" s="39"/>
      <c r="B132" s="90" t="s">
        <v>77</v>
      </c>
      <c r="C132" s="35" t="s">
        <v>300</v>
      </c>
      <c r="D132" s="36" t="s">
        <v>78</v>
      </c>
      <c r="E132" s="35" t="s">
        <v>157</v>
      </c>
      <c r="F132" s="28">
        <f t="shared" ref="F132:F174" si="193">G132+H132+I132</f>
        <v>5791.6</v>
      </c>
      <c r="G132" s="33"/>
      <c r="H132" s="33">
        <v>5791.6</v>
      </c>
      <c r="I132" s="33"/>
      <c r="J132" s="28">
        <f t="shared" ref="J132:J133" si="194">K132+L132+M132</f>
        <v>4275.3999999999996</v>
      </c>
      <c r="K132" s="33"/>
      <c r="L132" s="33">
        <v>4275.3999999999996</v>
      </c>
      <c r="M132" s="33"/>
      <c r="N132" s="27">
        <f t="shared" ref="N132:N133" si="195">O132+P132+Q132</f>
        <v>6257</v>
      </c>
      <c r="O132" s="33"/>
      <c r="P132" s="33">
        <v>6257</v>
      </c>
      <c r="Q132" s="33"/>
      <c r="R132" s="27">
        <f t="shared" ref="R132:R133" si="196">S132+T132+U132</f>
        <v>6244.8</v>
      </c>
      <c r="S132" s="33"/>
      <c r="T132" s="33">
        <v>6244.8</v>
      </c>
      <c r="U132" s="33"/>
      <c r="V132" s="63">
        <f t="shared" ref="V132:V174" si="197">J132/F132</f>
        <v>0.73799999999999999</v>
      </c>
    </row>
    <row r="133" spans="1:101" ht="90" customHeight="1">
      <c r="A133" s="39"/>
      <c r="B133" s="41" t="s">
        <v>79</v>
      </c>
      <c r="C133" s="35" t="s">
        <v>300</v>
      </c>
      <c r="D133" s="36" t="s">
        <v>78</v>
      </c>
      <c r="E133" s="35" t="s">
        <v>158</v>
      </c>
      <c r="F133" s="28">
        <f t="shared" si="193"/>
        <v>3387.2</v>
      </c>
      <c r="G133" s="33"/>
      <c r="H133" s="33">
        <v>3387.2</v>
      </c>
      <c r="I133" s="33"/>
      <c r="J133" s="28">
        <f t="shared" si="194"/>
        <v>1130.4000000000001</v>
      </c>
      <c r="K133" s="33"/>
      <c r="L133" s="33">
        <v>1130.4000000000001</v>
      </c>
      <c r="M133" s="33"/>
      <c r="N133" s="27">
        <f t="shared" si="195"/>
        <v>9752.2999999999993</v>
      </c>
      <c r="O133" s="33"/>
      <c r="P133" s="33">
        <v>9752.2999999999993</v>
      </c>
      <c r="Q133" s="33"/>
      <c r="R133" s="27">
        <f t="shared" si="196"/>
        <v>28693.8</v>
      </c>
      <c r="S133" s="33"/>
      <c r="T133" s="33">
        <v>28693.8</v>
      </c>
      <c r="U133" s="33"/>
      <c r="V133" s="63">
        <f t="shared" si="197"/>
        <v>0.33400000000000002</v>
      </c>
    </row>
    <row r="134" spans="1:101" ht="18.75">
      <c r="A134" s="39"/>
      <c r="B134" s="40" t="s">
        <v>15</v>
      </c>
      <c r="C134" s="32"/>
      <c r="D134" s="32"/>
      <c r="E134" s="32"/>
      <c r="F134" s="28"/>
      <c r="G134" s="28"/>
      <c r="H134" s="28"/>
      <c r="I134" s="28"/>
      <c r="J134" s="28"/>
      <c r="K134" s="28"/>
      <c r="L134" s="28"/>
      <c r="M134" s="28"/>
      <c r="N134" s="27"/>
      <c r="O134" s="28"/>
      <c r="P134" s="28"/>
      <c r="Q134" s="28"/>
      <c r="R134" s="27"/>
      <c r="S134" s="28"/>
      <c r="T134" s="28"/>
      <c r="U134" s="28"/>
      <c r="V134" s="38"/>
    </row>
    <row r="135" spans="1:101" ht="38.25" customHeight="1">
      <c r="A135" s="24" t="s">
        <v>80</v>
      </c>
      <c r="B135" s="48" t="s">
        <v>301</v>
      </c>
      <c r="C135" s="26" t="s">
        <v>12</v>
      </c>
      <c r="D135" s="26" t="s">
        <v>12</v>
      </c>
      <c r="E135" s="26" t="s">
        <v>12</v>
      </c>
      <c r="F135" s="28">
        <f t="shared" si="193"/>
        <v>3590</v>
      </c>
      <c r="G135" s="28">
        <f>G137</f>
        <v>0</v>
      </c>
      <c r="H135" s="28">
        <f t="shared" ref="H135:I135" si="198">H137</f>
        <v>3590</v>
      </c>
      <c r="I135" s="28">
        <f t="shared" si="198"/>
        <v>0</v>
      </c>
      <c r="J135" s="27">
        <f t="shared" ref="J135" si="199">K135+L135+M135</f>
        <v>587</v>
      </c>
      <c r="K135" s="28">
        <f>+K137</f>
        <v>0</v>
      </c>
      <c r="L135" s="28">
        <f>L137</f>
        <v>587</v>
      </c>
      <c r="M135" s="28">
        <f t="shared" ref="M135" si="200">+M137</f>
        <v>0</v>
      </c>
      <c r="N135" s="27">
        <f t="shared" ref="N135" si="201">O135+P135+Q135</f>
        <v>26000</v>
      </c>
      <c r="O135" s="28">
        <f>O137</f>
        <v>0</v>
      </c>
      <c r="P135" s="28">
        <f t="shared" ref="P135:Q135" si="202">P137</f>
        <v>26000</v>
      </c>
      <c r="Q135" s="28">
        <f t="shared" si="202"/>
        <v>0</v>
      </c>
      <c r="R135" s="27">
        <f t="shared" ref="R135" si="203">S135+T135+U135</f>
        <v>37000</v>
      </c>
      <c r="S135" s="28">
        <f>S137</f>
        <v>0</v>
      </c>
      <c r="T135" s="28">
        <f t="shared" ref="T135:U135" si="204">T137</f>
        <v>37000</v>
      </c>
      <c r="U135" s="28">
        <f t="shared" si="204"/>
        <v>0</v>
      </c>
      <c r="V135" s="29">
        <f t="shared" si="197"/>
        <v>0.16400000000000001</v>
      </c>
    </row>
    <row r="136" spans="1:101" ht="18.75">
      <c r="A136" s="39"/>
      <c r="B136" s="40" t="s">
        <v>15</v>
      </c>
      <c r="C136" s="32"/>
      <c r="D136" s="32"/>
      <c r="E136" s="32"/>
      <c r="F136" s="28"/>
      <c r="G136" s="28"/>
      <c r="H136" s="28"/>
      <c r="I136" s="28"/>
      <c r="J136" s="28"/>
      <c r="K136" s="28"/>
      <c r="L136" s="28"/>
      <c r="M136" s="28"/>
      <c r="N136" s="27"/>
      <c r="O136" s="28"/>
      <c r="P136" s="28"/>
      <c r="Q136" s="28"/>
      <c r="R136" s="27"/>
      <c r="S136" s="28"/>
      <c r="T136" s="28"/>
      <c r="U136" s="28"/>
      <c r="V136" s="29"/>
    </row>
    <row r="137" spans="1:101" ht="51.75" customHeight="1">
      <c r="A137" s="39"/>
      <c r="B137" s="41" t="s">
        <v>226</v>
      </c>
      <c r="C137" s="35">
        <v>810</v>
      </c>
      <c r="D137" s="36" t="s">
        <v>84</v>
      </c>
      <c r="E137" s="35" t="s">
        <v>227</v>
      </c>
      <c r="F137" s="28">
        <f t="shared" si="193"/>
        <v>3590</v>
      </c>
      <c r="G137" s="28"/>
      <c r="H137" s="28">
        <v>3590</v>
      </c>
      <c r="I137" s="28"/>
      <c r="J137" s="28">
        <f t="shared" ref="J137:J138" si="205">K137+L137+M137</f>
        <v>587</v>
      </c>
      <c r="K137" s="28"/>
      <c r="L137" s="28">
        <v>587</v>
      </c>
      <c r="M137" s="28"/>
      <c r="N137" s="27">
        <f t="shared" ref="N137:N138" si="206">O137+P137+Q137</f>
        <v>26000</v>
      </c>
      <c r="O137" s="28"/>
      <c r="P137" s="33">
        <v>26000</v>
      </c>
      <c r="Q137" s="28"/>
      <c r="R137" s="27">
        <f t="shared" ref="R137:R138" si="207">S137+T137+U137</f>
        <v>37000</v>
      </c>
      <c r="S137" s="28"/>
      <c r="T137" s="33">
        <v>37000</v>
      </c>
      <c r="U137" s="33"/>
      <c r="V137" s="29">
        <f t="shared" si="197"/>
        <v>0.16400000000000001</v>
      </c>
    </row>
    <row r="138" spans="1:101" s="8" customFormat="1" ht="26.25" customHeight="1">
      <c r="A138" s="24" t="s">
        <v>83</v>
      </c>
      <c r="B138" s="48" t="s">
        <v>160</v>
      </c>
      <c r="C138" s="62" t="s">
        <v>12</v>
      </c>
      <c r="D138" s="10" t="s">
        <v>12</v>
      </c>
      <c r="E138" s="62" t="s">
        <v>12</v>
      </c>
      <c r="F138" s="28">
        <f t="shared" si="193"/>
        <v>94297.3</v>
      </c>
      <c r="G138" s="28">
        <f t="shared" ref="G138:H138" si="208">G140</f>
        <v>11749.5</v>
      </c>
      <c r="H138" s="28">
        <f t="shared" si="208"/>
        <v>78631.3</v>
      </c>
      <c r="I138" s="28">
        <f t="shared" ref="I138" si="209">I140</f>
        <v>3916.5</v>
      </c>
      <c r="J138" s="28">
        <f t="shared" si="205"/>
        <v>9005.9</v>
      </c>
      <c r="K138" s="28">
        <f t="shared" ref="K138:M138" si="210">K140</f>
        <v>1122.0999999999999</v>
      </c>
      <c r="L138" s="28">
        <f>L140</f>
        <v>7509.7</v>
      </c>
      <c r="M138" s="28">
        <f t="shared" si="210"/>
        <v>374.1</v>
      </c>
      <c r="N138" s="28">
        <f t="shared" si="206"/>
        <v>97993.4</v>
      </c>
      <c r="O138" s="28">
        <f t="shared" ref="O138:T138" si="211">O140</f>
        <v>12210</v>
      </c>
      <c r="P138" s="28">
        <f t="shared" si="211"/>
        <v>81713.399999999994</v>
      </c>
      <c r="Q138" s="28">
        <f t="shared" si="211"/>
        <v>4070</v>
      </c>
      <c r="R138" s="28">
        <f t="shared" si="207"/>
        <v>82509.2</v>
      </c>
      <c r="S138" s="28">
        <f t="shared" si="211"/>
        <v>10726.2</v>
      </c>
      <c r="T138" s="28">
        <f t="shared" si="211"/>
        <v>71783</v>
      </c>
      <c r="U138" s="28">
        <f t="shared" ref="U138" si="212">U140</f>
        <v>0</v>
      </c>
      <c r="V138" s="38">
        <f t="shared" si="197"/>
        <v>9.6000000000000002E-2</v>
      </c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</row>
    <row r="139" spans="1:101" ht="18.75">
      <c r="A139" s="39"/>
      <c r="B139" s="40" t="s">
        <v>15</v>
      </c>
      <c r="C139" s="32"/>
      <c r="D139" s="42"/>
      <c r="E139" s="32"/>
      <c r="F139" s="28"/>
      <c r="G139" s="28"/>
      <c r="H139" s="28"/>
      <c r="I139" s="28"/>
      <c r="J139" s="28"/>
      <c r="K139" s="28"/>
      <c r="L139" s="28"/>
      <c r="M139" s="28"/>
      <c r="N139" s="27"/>
      <c r="O139" s="28"/>
      <c r="P139" s="28"/>
      <c r="Q139" s="28"/>
      <c r="R139" s="27"/>
      <c r="S139" s="28"/>
      <c r="T139" s="28"/>
      <c r="U139" s="28"/>
      <c r="V139" s="38"/>
    </row>
    <row r="140" spans="1:101" ht="56.25" customHeight="1">
      <c r="A140" s="39"/>
      <c r="B140" s="41" t="s">
        <v>162</v>
      </c>
      <c r="C140" s="35">
        <v>810</v>
      </c>
      <c r="D140" s="36" t="s">
        <v>84</v>
      </c>
      <c r="E140" s="35" t="s">
        <v>161</v>
      </c>
      <c r="F140" s="28">
        <f t="shared" si="193"/>
        <v>94297.3</v>
      </c>
      <c r="G140" s="33">
        <v>11749.5</v>
      </c>
      <c r="H140" s="33">
        <v>78631.3</v>
      </c>
      <c r="I140" s="33">
        <v>3916.5</v>
      </c>
      <c r="J140" s="28">
        <f t="shared" ref="J140:J147" si="213">K140+L140+M140</f>
        <v>9005.9</v>
      </c>
      <c r="K140" s="33">
        <v>1122.0999999999999</v>
      </c>
      <c r="L140" s="33">
        <v>7509.7</v>
      </c>
      <c r="M140" s="33">
        <v>374.1</v>
      </c>
      <c r="N140" s="27">
        <f t="shared" ref="N140:N142" si="214">O140+P140+Q140</f>
        <v>97993.4</v>
      </c>
      <c r="O140" s="33">
        <v>12210</v>
      </c>
      <c r="P140" s="33">
        <v>81713.399999999994</v>
      </c>
      <c r="Q140" s="33">
        <v>4070</v>
      </c>
      <c r="R140" s="27">
        <f t="shared" ref="R140:R142" si="215">S140+T140+U140</f>
        <v>82509.2</v>
      </c>
      <c r="S140" s="33">
        <v>10726.2</v>
      </c>
      <c r="T140" s="33">
        <v>71783</v>
      </c>
      <c r="U140" s="33"/>
      <c r="V140" s="63">
        <f t="shared" si="197"/>
        <v>9.6000000000000002E-2</v>
      </c>
    </row>
    <row r="141" spans="1:101" s="66" customFormat="1" ht="39" customHeight="1">
      <c r="A141" s="19" t="s">
        <v>85</v>
      </c>
      <c r="B141" s="60" t="s">
        <v>342</v>
      </c>
      <c r="C141" s="21" t="s">
        <v>12</v>
      </c>
      <c r="D141" s="21" t="s">
        <v>12</v>
      </c>
      <c r="E141" s="21" t="s">
        <v>12</v>
      </c>
      <c r="F141" s="45">
        <f t="shared" si="193"/>
        <v>6677444.4000000004</v>
      </c>
      <c r="G141" s="45">
        <f>G142+G153+G149</f>
        <v>3681713.3</v>
      </c>
      <c r="H141" s="45">
        <f>H142+H153+H149</f>
        <v>2721581.9</v>
      </c>
      <c r="I141" s="45">
        <f>I142+I153+I149</f>
        <v>274149.2</v>
      </c>
      <c r="J141" s="45">
        <f t="shared" si="213"/>
        <v>2586703.5</v>
      </c>
      <c r="K141" s="45">
        <f>K142+K153+K149</f>
        <v>1159305.2</v>
      </c>
      <c r="L141" s="45">
        <f>L142+L153+L149</f>
        <v>1288650.1000000001</v>
      </c>
      <c r="M141" s="45">
        <f>M142+M153+M149</f>
        <v>138748.20000000001</v>
      </c>
      <c r="N141" s="45">
        <f t="shared" si="214"/>
        <v>7173932.9000000004</v>
      </c>
      <c r="O141" s="45">
        <f>O142+O153+O149</f>
        <v>3625647.1</v>
      </c>
      <c r="P141" s="45">
        <f>P142+P153+P149</f>
        <v>3485108</v>
      </c>
      <c r="Q141" s="45">
        <f>Q142+Q153+Q149</f>
        <v>63177.8</v>
      </c>
      <c r="R141" s="45">
        <f t="shared" si="215"/>
        <v>8239147.5999999996</v>
      </c>
      <c r="S141" s="45">
        <f>S142+S153+S149</f>
        <v>4151290.8</v>
      </c>
      <c r="T141" s="45">
        <f>T142+T153+T149</f>
        <v>4024856.8</v>
      </c>
      <c r="U141" s="45">
        <f>U142+U153+U149</f>
        <v>63000</v>
      </c>
      <c r="V141" s="46">
        <f t="shared" si="197"/>
        <v>0.38700000000000001</v>
      </c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</row>
    <row r="142" spans="1:101" ht="48.75" customHeight="1">
      <c r="A142" s="11" t="s">
        <v>87</v>
      </c>
      <c r="B142" s="25" t="s">
        <v>307</v>
      </c>
      <c r="C142" s="58" t="s">
        <v>12</v>
      </c>
      <c r="D142" s="58" t="s">
        <v>12</v>
      </c>
      <c r="E142" s="58" t="s">
        <v>12</v>
      </c>
      <c r="F142" s="28">
        <f t="shared" si="193"/>
        <v>6219116.5</v>
      </c>
      <c r="G142" s="28">
        <f>SUM(G144:G148)</f>
        <v>3359366.9</v>
      </c>
      <c r="H142" s="28">
        <f t="shared" ref="H142:I142" si="216">SUM(H144:H148)</f>
        <v>2585600.4</v>
      </c>
      <c r="I142" s="28">
        <f t="shared" si="216"/>
        <v>274149.2</v>
      </c>
      <c r="J142" s="28">
        <f t="shared" si="213"/>
        <v>2470509.7000000002</v>
      </c>
      <c r="K142" s="28">
        <f>SUM(K144:K148)</f>
        <v>1043111.4</v>
      </c>
      <c r="L142" s="28">
        <f t="shared" ref="L142:M142" si="217">SUM(L144:L148)</f>
        <v>1288650.1000000001</v>
      </c>
      <c r="M142" s="28">
        <f t="shared" si="217"/>
        <v>138748.20000000001</v>
      </c>
      <c r="N142" s="27">
        <f t="shared" si="214"/>
        <v>6764322.5999999996</v>
      </c>
      <c r="O142" s="28">
        <f>SUM(O144:O148)</f>
        <v>3371451.6</v>
      </c>
      <c r="P142" s="28">
        <f t="shared" ref="P142:Q142" si="218">SUM(P144:P148)</f>
        <v>3329693.2</v>
      </c>
      <c r="Q142" s="28">
        <f t="shared" si="218"/>
        <v>63177.8</v>
      </c>
      <c r="R142" s="27">
        <f t="shared" si="215"/>
        <v>7859352.7999999998</v>
      </c>
      <c r="S142" s="28">
        <f>SUM(S144:S148)</f>
        <v>3926910.8</v>
      </c>
      <c r="T142" s="28">
        <f t="shared" ref="T142:U142" si="219">SUM(T144:T148)</f>
        <v>3869442</v>
      </c>
      <c r="U142" s="28">
        <f t="shared" si="219"/>
        <v>63000</v>
      </c>
      <c r="V142" s="29">
        <f t="shared" si="197"/>
        <v>0.39700000000000002</v>
      </c>
    </row>
    <row r="143" spans="1:101" ht="18.75">
      <c r="A143" s="14"/>
      <c r="B143" s="31" t="s">
        <v>15</v>
      </c>
      <c r="C143" s="57"/>
      <c r="D143" s="57"/>
      <c r="E143" s="57"/>
      <c r="F143" s="27"/>
      <c r="G143" s="28"/>
      <c r="H143" s="28"/>
      <c r="I143" s="28"/>
      <c r="J143" s="28"/>
      <c r="K143" s="28"/>
      <c r="L143" s="28"/>
      <c r="M143" s="28"/>
      <c r="N143" s="27"/>
      <c r="O143" s="28"/>
      <c r="P143" s="28"/>
      <c r="Q143" s="28"/>
      <c r="R143" s="27"/>
      <c r="S143" s="28"/>
      <c r="T143" s="28"/>
      <c r="U143" s="28"/>
      <c r="V143" s="38"/>
    </row>
    <row r="144" spans="1:101" ht="49.5">
      <c r="A144" s="39"/>
      <c r="B144" s="41" t="s">
        <v>302</v>
      </c>
      <c r="C144" s="36" t="s">
        <v>306</v>
      </c>
      <c r="D144" s="36" t="s">
        <v>88</v>
      </c>
      <c r="E144" s="35" t="s">
        <v>304</v>
      </c>
      <c r="F144" s="28">
        <f t="shared" si="193"/>
        <v>604201.6</v>
      </c>
      <c r="G144" s="28"/>
      <c r="H144" s="28">
        <v>604201.6</v>
      </c>
      <c r="I144" s="28"/>
      <c r="J144" s="28">
        <f t="shared" si="213"/>
        <v>603754.19999999995</v>
      </c>
      <c r="K144" s="28"/>
      <c r="L144" s="28">
        <v>603754.19999999995</v>
      </c>
      <c r="M144" s="28"/>
      <c r="N144" s="27">
        <f t="shared" ref="N144:N147" si="220">O144+P144+Q144</f>
        <v>684615.7</v>
      </c>
      <c r="O144" s="28"/>
      <c r="P144" s="28">
        <v>684615.7</v>
      </c>
      <c r="Q144" s="28"/>
      <c r="R144" s="27">
        <f t="shared" ref="R144:R148" si="221">S144+T144+U144</f>
        <v>0</v>
      </c>
      <c r="S144" s="28"/>
      <c r="T144" s="28"/>
      <c r="U144" s="28"/>
      <c r="V144" s="63">
        <f t="shared" si="197"/>
        <v>0.999</v>
      </c>
    </row>
    <row r="145" spans="1:101" ht="60" customHeight="1">
      <c r="A145" s="39"/>
      <c r="B145" s="41" t="s">
        <v>355</v>
      </c>
      <c r="C145" s="36" t="s">
        <v>306</v>
      </c>
      <c r="D145" s="36" t="s">
        <v>88</v>
      </c>
      <c r="E145" s="35" t="s">
        <v>356</v>
      </c>
      <c r="F145" s="28">
        <f t="shared" si="193"/>
        <v>684614.5</v>
      </c>
      <c r="G145" s="28"/>
      <c r="H145" s="28">
        <v>684614.5</v>
      </c>
      <c r="I145" s="28"/>
      <c r="J145" s="28">
        <f t="shared" si="213"/>
        <v>226073.2</v>
      </c>
      <c r="K145" s="28"/>
      <c r="L145" s="28">
        <v>226073.2</v>
      </c>
      <c r="M145" s="28"/>
      <c r="N145" s="27">
        <f t="shared" si="220"/>
        <v>0</v>
      </c>
      <c r="O145" s="28"/>
      <c r="P145" s="28"/>
      <c r="Q145" s="28"/>
      <c r="R145" s="27">
        <f t="shared" si="221"/>
        <v>0</v>
      </c>
      <c r="S145" s="28"/>
      <c r="T145" s="28"/>
      <c r="U145" s="28"/>
      <c r="V145" s="63">
        <f t="shared" si="197"/>
        <v>0.33</v>
      </c>
    </row>
    <row r="146" spans="1:101" ht="56.25" customHeight="1">
      <c r="A146" s="39"/>
      <c r="B146" s="41" t="s">
        <v>253</v>
      </c>
      <c r="C146" s="36" t="s">
        <v>257</v>
      </c>
      <c r="D146" s="36" t="s">
        <v>17</v>
      </c>
      <c r="E146" s="35" t="s">
        <v>159</v>
      </c>
      <c r="F146" s="28">
        <f t="shared" si="193"/>
        <v>0</v>
      </c>
      <c r="G146" s="28">
        <f>367.5-367.5</f>
        <v>0</v>
      </c>
      <c r="H146" s="28"/>
      <c r="I146" s="28"/>
      <c r="J146" s="28">
        <f t="shared" si="213"/>
        <v>0</v>
      </c>
      <c r="K146" s="28"/>
      <c r="L146" s="28"/>
      <c r="M146" s="28"/>
      <c r="N146" s="27">
        <f t="shared" si="220"/>
        <v>0</v>
      </c>
      <c r="O146" s="28">
        <f>367.5-367.5</f>
        <v>0</v>
      </c>
      <c r="P146" s="28"/>
      <c r="Q146" s="28"/>
      <c r="R146" s="27">
        <f t="shared" si="221"/>
        <v>0</v>
      </c>
      <c r="S146" s="28">
        <f>367.5-367.5</f>
        <v>0</v>
      </c>
      <c r="T146" s="28"/>
      <c r="U146" s="28"/>
      <c r="V146" s="63" t="e">
        <f t="shared" si="197"/>
        <v>#DIV/0!</v>
      </c>
    </row>
    <row r="147" spans="1:101" ht="58.5" customHeight="1">
      <c r="A147" s="39"/>
      <c r="B147" s="41" t="s">
        <v>253</v>
      </c>
      <c r="C147" s="36" t="s">
        <v>306</v>
      </c>
      <c r="D147" s="36" t="s">
        <v>88</v>
      </c>
      <c r="E147" s="35" t="s">
        <v>159</v>
      </c>
      <c r="F147" s="28">
        <f t="shared" si="193"/>
        <v>780000</v>
      </c>
      <c r="G147" s="28">
        <f>1074050.1-567050.1</f>
        <v>507000</v>
      </c>
      <c r="H147" s="28"/>
      <c r="I147" s="28">
        <v>273000</v>
      </c>
      <c r="J147" s="28">
        <f t="shared" si="213"/>
        <v>335714</v>
      </c>
      <c r="K147" s="28">
        <v>197000</v>
      </c>
      <c r="L147" s="28"/>
      <c r="M147" s="28">
        <v>138714</v>
      </c>
      <c r="N147" s="27">
        <f t="shared" si="220"/>
        <v>157015</v>
      </c>
      <c r="O147" s="28">
        <v>94015</v>
      </c>
      <c r="P147" s="28"/>
      <c r="Q147" s="28">
        <v>63000</v>
      </c>
      <c r="R147" s="27">
        <f t="shared" si="221"/>
        <v>157015</v>
      </c>
      <c r="S147" s="28">
        <v>94015</v>
      </c>
      <c r="T147" s="28"/>
      <c r="U147" s="28">
        <v>63000</v>
      </c>
      <c r="V147" s="63">
        <f t="shared" si="197"/>
        <v>0.43</v>
      </c>
    </row>
    <row r="148" spans="1:101" ht="74.25" customHeight="1">
      <c r="A148" s="39"/>
      <c r="B148" s="41" t="s">
        <v>303</v>
      </c>
      <c r="C148" s="36" t="s">
        <v>306</v>
      </c>
      <c r="D148" s="36" t="s">
        <v>88</v>
      </c>
      <c r="E148" s="35" t="s">
        <v>305</v>
      </c>
      <c r="F148" s="28">
        <f t="shared" si="193"/>
        <v>4150300.4</v>
      </c>
      <c r="G148" s="33">
        <v>2852366.9</v>
      </c>
      <c r="H148" s="33">
        <v>1296784.3</v>
      </c>
      <c r="I148" s="33">
        <v>1149.2</v>
      </c>
      <c r="J148" s="28">
        <f t="shared" ref="J148:J149" si="222">K148+L148+M148</f>
        <v>1304968.3</v>
      </c>
      <c r="K148" s="33">
        <v>846111.4</v>
      </c>
      <c r="L148" s="33">
        <v>458822.7</v>
      </c>
      <c r="M148" s="33">
        <v>34.200000000000003</v>
      </c>
      <c r="N148" s="27">
        <f t="shared" ref="N148:N149" si="223">O148+P148+Q148</f>
        <v>5922691.9000000004</v>
      </c>
      <c r="O148" s="33">
        <v>3277436.6</v>
      </c>
      <c r="P148" s="33">
        <v>2645077.5</v>
      </c>
      <c r="Q148" s="33">
        <v>177.8</v>
      </c>
      <c r="R148" s="27">
        <f t="shared" si="221"/>
        <v>7702337.7999999998</v>
      </c>
      <c r="S148" s="33">
        <v>3832895.8</v>
      </c>
      <c r="T148" s="33">
        <v>3869442</v>
      </c>
      <c r="U148" s="33"/>
      <c r="V148" s="63">
        <f t="shared" si="197"/>
        <v>0.314</v>
      </c>
    </row>
    <row r="149" spans="1:101" ht="36.75" customHeight="1">
      <c r="A149" s="11" t="s">
        <v>180</v>
      </c>
      <c r="B149" s="25" t="s">
        <v>308</v>
      </c>
      <c r="C149" s="37" t="s">
        <v>12</v>
      </c>
      <c r="D149" s="37" t="s">
        <v>12</v>
      </c>
      <c r="E149" s="37" t="s">
        <v>12</v>
      </c>
      <c r="F149" s="27">
        <f t="shared" si="193"/>
        <v>230385.4</v>
      </c>
      <c r="G149" s="28">
        <f>SUM(G151:G152)</f>
        <v>94403.9</v>
      </c>
      <c r="H149" s="28">
        <f>SUM(H151:H152)</f>
        <v>135981.5</v>
      </c>
      <c r="I149" s="28">
        <f>SUM(I151:I152)</f>
        <v>0</v>
      </c>
      <c r="J149" s="27">
        <f t="shared" si="222"/>
        <v>14925</v>
      </c>
      <c r="K149" s="28">
        <f>SUM(K151:K152)</f>
        <v>14925</v>
      </c>
      <c r="L149" s="28">
        <f>SUM(L151:L152)</f>
        <v>0</v>
      </c>
      <c r="M149" s="28">
        <f>SUM(M151:M152)</f>
        <v>0</v>
      </c>
      <c r="N149" s="27">
        <f t="shared" si="223"/>
        <v>237414.8</v>
      </c>
      <c r="O149" s="28">
        <f>SUM(O151:O152)</f>
        <v>82000</v>
      </c>
      <c r="P149" s="28">
        <f>SUM(P151:P152)</f>
        <v>155414.79999999999</v>
      </c>
      <c r="Q149" s="28">
        <f>SUM(Q151:Q152)</f>
        <v>0</v>
      </c>
      <c r="R149" s="27">
        <f t="shared" ref="R149" si="224">S149+T149+U149</f>
        <v>205414.8</v>
      </c>
      <c r="S149" s="28">
        <f>SUM(S151:S152)</f>
        <v>50000</v>
      </c>
      <c r="T149" s="28">
        <f>SUM(T151:T152)</f>
        <v>155414.79999999999</v>
      </c>
      <c r="U149" s="28">
        <f>SUM(U151:U152)</f>
        <v>0</v>
      </c>
      <c r="V149" s="29">
        <f t="shared" si="197"/>
        <v>6.5000000000000002E-2</v>
      </c>
    </row>
    <row r="150" spans="1:101" ht="18.75">
      <c r="A150" s="14"/>
      <c r="B150" s="31" t="s">
        <v>15</v>
      </c>
      <c r="C150" s="57"/>
      <c r="D150" s="57"/>
      <c r="E150" s="57"/>
      <c r="F150" s="28"/>
      <c r="G150" s="33"/>
      <c r="H150" s="33"/>
      <c r="I150" s="33"/>
      <c r="J150" s="28"/>
      <c r="K150" s="33"/>
      <c r="L150" s="33"/>
      <c r="M150" s="33"/>
      <c r="N150" s="27"/>
      <c r="O150" s="33"/>
      <c r="P150" s="33"/>
      <c r="Q150" s="33"/>
      <c r="R150" s="27"/>
      <c r="S150" s="33"/>
      <c r="T150" s="33"/>
      <c r="U150" s="33"/>
      <c r="V150" s="63"/>
    </row>
    <row r="151" spans="1:101" ht="57" customHeight="1">
      <c r="A151" s="39"/>
      <c r="B151" s="41" t="s">
        <v>253</v>
      </c>
      <c r="C151" s="35" t="s">
        <v>306</v>
      </c>
      <c r="D151" s="36" t="s">
        <v>88</v>
      </c>
      <c r="E151" s="35" t="s">
        <v>216</v>
      </c>
      <c r="F151" s="28">
        <f t="shared" si="193"/>
        <v>78980.2</v>
      </c>
      <c r="G151" s="33">
        <v>78980.2</v>
      </c>
      <c r="H151" s="33"/>
      <c r="I151" s="33"/>
      <c r="J151" s="28">
        <f t="shared" ref="J151:J153" si="225">K151+L151+M151</f>
        <v>14925</v>
      </c>
      <c r="K151" s="33">
        <v>14925</v>
      </c>
      <c r="L151" s="33"/>
      <c r="M151" s="33"/>
      <c r="N151" s="27">
        <f t="shared" ref="N151:N153" si="226">O151+P151+Q151</f>
        <v>82000</v>
      </c>
      <c r="O151" s="33">
        <f>42000+40000</f>
        <v>82000</v>
      </c>
      <c r="P151" s="33"/>
      <c r="Q151" s="33"/>
      <c r="R151" s="27">
        <f t="shared" ref="R151:R153" si="227">S151+T151+U151</f>
        <v>50000</v>
      </c>
      <c r="S151" s="33">
        <v>50000</v>
      </c>
      <c r="T151" s="33"/>
      <c r="U151" s="33"/>
      <c r="V151" s="63">
        <f t="shared" si="197"/>
        <v>0.189</v>
      </c>
    </row>
    <row r="152" spans="1:101" ht="95.25" customHeight="1">
      <c r="A152" s="39"/>
      <c r="B152" s="41" t="s">
        <v>184</v>
      </c>
      <c r="C152" s="35" t="s">
        <v>306</v>
      </c>
      <c r="D152" s="36" t="s">
        <v>88</v>
      </c>
      <c r="E152" s="35" t="s">
        <v>183</v>
      </c>
      <c r="F152" s="28">
        <f t="shared" si="193"/>
        <v>151405.20000000001</v>
      </c>
      <c r="G152" s="33">
        <v>15423.7</v>
      </c>
      <c r="H152" s="33">
        <v>135981.5</v>
      </c>
      <c r="I152" s="33"/>
      <c r="J152" s="28">
        <f t="shared" si="225"/>
        <v>0</v>
      </c>
      <c r="K152" s="33"/>
      <c r="L152" s="33"/>
      <c r="M152" s="33"/>
      <c r="N152" s="27">
        <f t="shared" si="226"/>
        <v>155414.79999999999</v>
      </c>
      <c r="O152" s="33"/>
      <c r="P152" s="33">
        <v>155414.79999999999</v>
      </c>
      <c r="Q152" s="33"/>
      <c r="R152" s="27">
        <f t="shared" si="227"/>
        <v>155414.79999999999</v>
      </c>
      <c r="S152" s="33"/>
      <c r="T152" s="33">
        <v>155414.79999999999</v>
      </c>
      <c r="U152" s="33"/>
      <c r="V152" s="63">
        <f t="shared" si="197"/>
        <v>0</v>
      </c>
    </row>
    <row r="153" spans="1:101" s="8" customFormat="1" ht="38.25" customHeight="1">
      <c r="A153" s="24" t="s">
        <v>189</v>
      </c>
      <c r="B153" s="48" t="s">
        <v>309</v>
      </c>
      <c r="C153" s="26" t="s">
        <v>12</v>
      </c>
      <c r="D153" s="26" t="s">
        <v>12</v>
      </c>
      <c r="E153" s="26" t="s">
        <v>12</v>
      </c>
      <c r="F153" s="28">
        <f t="shared" si="193"/>
        <v>227942.5</v>
      </c>
      <c r="G153" s="28">
        <f>SUM(G155:G157)</f>
        <v>227942.5</v>
      </c>
      <c r="H153" s="28">
        <f>SUM(H155:H157)</f>
        <v>0</v>
      </c>
      <c r="I153" s="28">
        <f>SUM(I155:I157)</f>
        <v>0</v>
      </c>
      <c r="J153" s="28">
        <f t="shared" si="225"/>
        <v>101268.8</v>
      </c>
      <c r="K153" s="28">
        <f>SUM(K155:K157)</f>
        <v>101268.8</v>
      </c>
      <c r="L153" s="28">
        <f>SUM(L155:L157)</f>
        <v>0</v>
      </c>
      <c r="M153" s="28">
        <f>SUM(M155:M157)</f>
        <v>0</v>
      </c>
      <c r="N153" s="28">
        <f t="shared" si="226"/>
        <v>172195.5</v>
      </c>
      <c r="O153" s="28">
        <f>SUM(O155:O157)</f>
        <v>172195.5</v>
      </c>
      <c r="P153" s="28">
        <f>SUM(P155:P157)</f>
        <v>0</v>
      </c>
      <c r="Q153" s="28">
        <f>SUM(Q155:Q157)</f>
        <v>0</v>
      </c>
      <c r="R153" s="28">
        <f t="shared" si="227"/>
        <v>174380</v>
      </c>
      <c r="S153" s="28">
        <f>SUM(S155:S157)</f>
        <v>174380</v>
      </c>
      <c r="T153" s="28">
        <f>SUM(T155:T157)</f>
        <v>0</v>
      </c>
      <c r="U153" s="28">
        <f>SUM(U155:U157)</f>
        <v>0</v>
      </c>
      <c r="V153" s="38">
        <f t="shared" si="197"/>
        <v>0.44400000000000001</v>
      </c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</row>
    <row r="154" spans="1:101" ht="22.5" customHeight="1">
      <c r="A154" s="14"/>
      <c r="B154" s="31" t="s">
        <v>15</v>
      </c>
      <c r="C154" s="57"/>
      <c r="D154" s="57"/>
      <c r="E154" s="57"/>
      <c r="F154" s="28"/>
      <c r="G154" s="28"/>
      <c r="H154" s="28"/>
      <c r="I154" s="28"/>
      <c r="J154" s="28"/>
      <c r="K154" s="28"/>
      <c r="L154" s="28"/>
      <c r="M154" s="28"/>
      <c r="N154" s="27"/>
      <c r="O154" s="28"/>
      <c r="P154" s="28"/>
      <c r="Q154" s="28"/>
      <c r="R154" s="27"/>
      <c r="S154" s="28"/>
      <c r="T154" s="28"/>
      <c r="U154" s="28"/>
      <c r="V154" s="38"/>
    </row>
    <row r="155" spans="1:101" ht="56.25" customHeight="1">
      <c r="A155" s="39"/>
      <c r="B155" s="41" t="s">
        <v>253</v>
      </c>
      <c r="C155" s="35" t="s">
        <v>280</v>
      </c>
      <c r="D155" s="36" t="s">
        <v>48</v>
      </c>
      <c r="E155" s="35" t="s">
        <v>179</v>
      </c>
      <c r="F155" s="28">
        <f t="shared" si="193"/>
        <v>3012.5</v>
      </c>
      <c r="G155" s="33">
        <v>3012.5</v>
      </c>
      <c r="H155" s="33"/>
      <c r="I155" s="33"/>
      <c r="J155" s="28">
        <f t="shared" ref="J155:J159" si="228">K155+L155+M155</f>
        <v>2267</v>
      </c>
      <c r="K155" s="33">
        <v>2267</v>
      </c>
      <c r="L155" s="33"/>
      <c r="M155" s="33"/>
      <c r="N155" s="27">
        <f t="shared" ref="N155:N159" si="229">O155+P155+Q155</f>
        <v>3012.5</v>
      </c>
      <c r="O155" s="33">
        <v>3012.5</v>
      </c>
      <c r="P155" s="33"/>
      <c r="Q155" s="33"/>
      <c r="R155" s="27">
        <f t="shared" ref="R155:R159" si="230">S155+T155+U155</f>
        <v>3012.5</v>
      </c>
      <c r="S155" s="33">
        <v>3012.5</v>
      </c>
      <c r="T155" s="33"/>
      <c r="U155" s="33"/>
      <c r="V155" s="63">
        <f t="shared" si="197"/>
        <v>0.753</v>
      </c>
    </row>
    <row r="156" spans="1:101" ht="58.5" customHeight="1">
      <c r="A156" s="39"/>
      <c r="B156" s="41" t="s">
        <v>253</v>
      </c>
      <c r="C156" s="35">
        <v>811</v>
      </c>
      <c r="D156" s="36" t="s">
        <v>17</v>
      </c>
      <c r="E156" s="35" t="s">
        <v>179</v>
      </c>
      <c r="F156" s="28">
        <f t="shared" si="193"/>
        <v>367.5</v>
      </c>
      <c r="G156" s="33">
        <v>367.5</v>
      </c>
      <c r="H156" s="33"/>
      <c r="I156" s="33"/>
      <c r="J156" s="28">
        <f t="shared" si="228"/>
        <v>69.599999999999994</v>
      </c>
      <c r="K156" s="33">
        <v>69.599999999999994</v>
      </c>
      <c r="L156" s="33"/>
      <c r="M156" s="33"/>
      <c r="N156" s="27">
        <f t="shared" si="229"/>
        <v>367.5</v>
      </c>
      <c r="O156" s="33">
        <v>367.5</v>
      </c>
      <c r="P156" s="33"/>
      <c r="Q156" s="33"/>
      <c r="R156" s="27">
        <f t="shared" si="230"/>
        <v>367.5</v>
      </c>
      <c r="S156" s="33">
        <v>367.5</v>
      </c>
      <c r="T156" s="33"/>
      <c r="U156" s="33"/>
      <c r="V156" s="63">
        <f t="shared" si="197"/>
        <v>0.189</v>
      </c>
    </row>
    <row r="157" spans="1:101" ht="59.25" customHeight="1">
      <c r="A157" s="39"/>
      <c r="B157" s="41" t="s">
        <v>253</v>
      </c>
      <c r="C157" s="35" t="s">
        <v>306</v>
      </c>
      <c r="D157" s="36" t="s">
        <v>88</v>
      </c>
      <c r="E157" s="35" t="s">
        <v>179</v>
      </c>
      <c r="F157" s="28">
        <f t="shared" si="193"/>
        <v>224562.5</v>
      </c>
      <c r="G157" s="33">
        <v>224562.5</v>
      </c>
      <c r="H157" s="33"/>
      <c r="I157" s="33"/>
      <c r="J157" s="28">
        <f t="shared" si="228"/>
        <v>98932.2</v>
      </c>
      <c r="K157" s="33">
        <v>98932.2</v>
      </c>
      <c r="L157" s="33"/>
      <c r="M157" s="33"/>
      <c r="N157" s="27">
        <f t="shared" si="229"/>
        <v>168815.5</v>
      </c>
      <c r="O157" s="33">
        <v>168815.5</v>
      </c>
      <c r="P157" s="33"/>
      <c r="Q157" s="33"/>
      <c r="R157" s="27">
        <f t="shared" si="230"/>
        <v>171000</v>
      </c>
      <c r="S157" s="33">
        <v>171000</v>
      </c>
      <c r="T157" s="33"/>
      <c r="U157" s="33"/>
      <c r="V157" s="63">
        <f t="shared" si="197"/>
        <v>0.441</v>
      </c>
    </row>
    <row r="158" spans="1:101" s="66" customFormat="1" ht="28.5" customHeight="1">
      <c r="A158" s="19" t="s">
        <v>89</v>
      </c>
      <c r="B158" s="20" t="s">
        <v>90</v>
      </c>
      <c r="C158" s="21" t="s">
        <v>12</v>
      </c>
      <c r="D158" s="21" t="s">
        <v>12</v>
      </c>
      <c r="E158" s="21" t="s">
        <v>12</v>
      </c>
      <c r="F158" s="45">
        <f>G158+H158+I158</f>
        <v>174768.9</v>
      </c>
      <c r="G158" s="45">
        <f>G159+G170+G175</f>
        <v>35053.199999999997</v>
      </c>
      <c r="H158" s="45">
        <f t="shared" ref="H158:I158" si="231">H159+H170+H175</f>
        <v>131251.6</v>
      </c>
      <c r="I158" s="45">
        <f t="shared" si="231"/>
        <v>8464.1</v>
      </c>
      <c r="J158" s="45">
        <f t="shared" si="228"/>
        <v>63447</v>
      </c>
      <c r="K158" s="45">
        <f>K159+K170+K175</f>
        <v>16907.2</v>
      </c>
      <c r="L158" s="45">
        <f t="shared" ref="L158:M158" si="232">L159+L170+L175</f>
        <v>41740.300000000003</v>
      </c>
      <c r="M158" s="45">
        <f t="shared" si="232"/>
        <v>4799.5</v>
      </c>
      <c r="N158" s="45">
        <f t="shared" si="229"/>
        <v>229885.4</v>
      </c>
      <c r="O158" s="45">
        <f>O159+O170+O175</f>
        <v>20814.2</v>
      </c>
      <c r="P158" s="45">
        <f t="shared" ref="P158:Q158" si="233">P159+P170+P175</f>
        <v>209029.5</v>
      </c>
      <c r="Q158" s="45">
        <f t="shared" si="233"/>
        <v>41.7</v>
      </c>
      <c r="R158" s="45">
        <f t="shared" si="230"/>
        <v>356103.3</v>
      </c>
      <c r="S158" s="45">
        <f>S159+S170+S175</f>
        <v>26726</v>
      </c>
      <c r="T158" s="45">
        <f t="shared" ref="T158:U158" si="234">T159+T170+T175</f>
        <v>329335.59999999998</v>
      </c>
      <c r="U158" s="45">
        <f t="shared" si="234"/>
        <v>41.7</v>
      </c>
      <c r="V158" s="46">
        <f t="shared" si="197"/>
        <v>0.36299999999999999</v>
      </c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</row>
    <row r="159" spans="1:101" ht="35.25" customHeight="1">
      <c r="A159" s="11" t="s">
        <v>91</v>
      </c>
      <c r="B159" s="25" t="s">
        <v>92</v>
      </c>
      <c r="C159" s="37" t="s">
        <v>12</v>
      </c>
      <c r="D159" s="37" t="s">
        <v>12</v>
      </c>
      <c r="E159" s="37" t="s">
        <v>12</v>
      </c>
      <c r="F159" s="28">
        <f t="shared" si="193"/>
        <v>153533</v>
      </c>
      <c r="G159" s="28">
        <f>SUM(G161:G169)</f>
        <v>20859</v>
      </c>
      <c r="H159" s="28">
        <f t="shared" ref="H159:I159" si="235">SUM(H161:H169)</f>
        <v>124251.6</v>
      </c>
      <c r="I159" s="28">
        <f t="shared" si="235"/>
        <v>8422.4</v>
      </c>
      <c r="J159" s="28">
        <f t="shared" si="228"/>
        <v>43253.3</v>
      </c>
      <c r="K159" s="28">
        <f>SUM(K161:K169)</f>
        <v>3713.5</v>
      </c>
      <c r="L159" s="28">
        <f t="shared" ref="L159" si="236">SUM(L161:L169)</f>
        <v>34740.300000000003</v>
      </c>
      <c r="M159" s="28">
        <f>SUM(M161:M169)</f>
        <v>4799.5</v>
      </c>
      <c r="N159" s="27">
        <f t="shared" si="229"/>
        <v>214349.5</v>
      </c>
      <c r="O159" s="28">
        <f>SUM(O161:O169)</f>
        <v>6620</v>
      </c>
      <c r="P159" s="28">
        <f t="shared" ref="P159:Q159" si="237">SUM(P161:P169)</f>
        <v>207729.5</v>
      </c>
      <c r="Q159" s="28">
        <f t="shared" si="237"/>
        <v>0</v>
      </c>
      <c r="R159" s="27">
        <f t="shared" si="230"/>
        <v>340567.4</v>
      </c>
      <c r="S159" s="28">
        <f>SUM(S161:S169)</f>
        <v>12531.8</v>
      </c>
      <c r="T159" s="28">
        <f t="shared" ref="T159:U159" si="238">SUM(T161:T169)</f>
        <v>328035.59999999998</v>
      </c>
      <c r="U159" s="28">
        <f t="shared" si="238"/>
        <v>0</v>
      </c>
      <c r="V159" s="38">
        <f t="shared" si="197"/>
        <v>0.28199999999999997</v>
      </c>
    </row>
    <row r="160" spans="1:101" ht="18.75">
      <c r="A160" s="14"/>
      <c r="B160" s="31" t="s">
        <v>15</v>
      </c>
      <c r="C160" s="57"/>
      <c r="D160" s="57"/>
      <c r="E160" s="57"/>
      <c r="F160" s="28"/>
      <c r="G160" s="28"/>
      <c r="H160" s="28"/>
      <c r="I160" s="28"/>
      <c r="J160" s="28"/>
      <c r="K160" s="28"/>
      <c r="L160" s="28"/>
      <c r="M160" s="28"/>
      <c r="N160" s="27"/>
      <c r="O160" s="28"/>
      <c r="P160" s="28"/>
      <c r="Q160" s="28"/>
      <c r="R160" s="27"/>
      <c r="S160" s="28"/>
      <c r="T160" s="28"/>
      <c r="U160" s="28"/>
      <c r="V160" s="38"/>
    </row>
    <row r="161" spans="1:22" ht="66">
      <c r="A161" s="39"/>
      <c r="B161" s="41" t="s">
        <v>225</v>
      </c>
      <c r="C161" s="36" t="s">
        <v>314</v>
      </c>
      <c r="D161" s="36" t="s">
        <v>93</v>
      </c>
      <c r="E161" s="35" t="s">
        <v>145</v>
      </c>
      <c r="F161" s="28">
        <f t="shared" si="193"/>
        <v>15966.4</v>
      </c>
      <c r="G161" s="28"/>
      <c r="H161" s="28">
        <v>10000</v>
      </c>
      <c r="I161" s="28">
        <v>5966.4</v>
      </c>
      <c r="J161" s="28">
        <f t="shared" ref="J161:J169" si="239">K161+L161+M161</f>
        <v>11602.4</v>
      </c>
      <c r="K161" s="28"/>
      <c r="L161" s="28">
        <v>7666.7</v>
      </c>
      <c r="M161" s="28">
        <v>3935.7</v>
      </c>
      <c r="N161" s="28">
        <f t="shared" ref="N161:N169" si="240">O161+P161+Q161</f>
        <v>0</v>
      </c>
      <c r="O161" s="28"/>
      <c r="P161" s="28">
        <v>0</v>
      </c>
      <c r="Q161" s="28"/>
      <c r="R161" s="28">
        <f t="shared" ref="R161:R169" si="241">S161+T161+U161</f>
        <v>0</v>
      </c>
      <c r="S161" s="28"/>
      <c r="T161" s="28">
        <v>0</v>
      </c>
      <c r="U161" s="28"/>
      <c r="V161" s="63">
        <f t="shared" si="197"/>
        <v>0.72699999999999998</v>
      </c>
    </row>
    <row r="162" spans="1:22" ht="36.75" customHeight="1">
      <c r="A162" s="39"/>
      <c r="B162" s="41" t="s">
        <v>147</v>
      </c>
      <c r="C162" s="35" t="s">
        <v>273</v>
      </c>
      <c r="D162" s="36" t="s">
        <v>146</v>
      </c>
      <c r="E162" s="35" t="s">
        <v>148</v>
      </c>
      <c r="F162" s="28">
        <f t="shared" si="193"/>
        <v>0</v>
      </c>
      <c r="G162" s="33">
        <v>0</v>
      </c>
      <c r="H162" s="33">
        <v>0</v>
      </c>
      <c r="I162" s="33"/>
      <c r="J162" s="28">
        <f t="shared" si="239"/>
        <v>0</v>
      </c>
      <c r="K162" s="33"/>
      <c r="L162" s="33"/>
      <c r="M162" s="33"/>
      <c r="N162" s="28">
        <f t="shared" si="240"/>
        <v>185886.1</v>
      </c>
      <c r="O162" s="33">
        <v>5576.6</v>
      </c>
      <c r="P162" s="33">
        <v>180309.5</v>
      </c>
      <c r="Q162" s="33"/>
      <c r="R162" s="28">
        <f t="shared" si="241"/>
        <v>307054.2</v>
      </c>
      <c r="S162" s="33">
        <v>9211.6</v>
      </c>
      <c r="T162" s="33">
        <v>297842.59999999998</v>
      </c>
      <c r="U162" s="33"/>
      <c r="V162" s="63" t="e">
        <f t="shared" si="197"/>
        <v>#DIV/0!</v>
      </c>
    </row>
    <row r="163" spans="1:22" ht="44.25" customHeight="1">
      <c r="A163" s="39"/>
      <c r="B163" s="41" t="s">
        <v>310</v>
      </c>
      <c r="C163" s="35" t="s">
        <v>258</v>
      </c>
      <c r="D163" s="36" t="s">
        <v>19</v>
      </c>
      <c r="E163" s="35" t="s">
        <v>312</v>
      </c>
      <c r="F163" s="28">
        <f t="shared" si="193"/>
        <v>36283.199999999997</v>
      </c>
      <c r="G163" s="33">
        <v>4481</v>
      </c>
      <c r="H163" s="33">
        <v>29988</v>
      </c>
      <c r="I163" s="33">
        <v>1814.2</v>
      </c>
      <c r="J163" s="28">
        <f t="shared" si="239"/>
        <v>11024.5</v>
      </c>
      <c r="K163" s="33">
        <v>1361.5</v>
      </c>
      <c r="L163" s="33">
        <v>9111.7999999999993</v>
      </c>
      <c r="M163" s="33">
        <v>551.20000000000005</v>
      </c>
      <c r="N163" s="28">
        <f t="shared" si="240"/>
        <v>0</v>
      </c>
      <c r="O163" s="33">
        <v>0</v>
      </c>
      <c r="P163" s="33">
        <v>0</v>
      </c>
      <c r="Q163" s="33"/>
      <c r="R163" s="28">
        <f t="shared" si="241"/>
        <v>12782.2</v>
      </c>
      <c r="S163" s="33">
        <v>1661.7</v>
      </c>
      <c r="T163" s="33">
        <v>11120.5</v>
      </c>
      <c r="U163" s="33"/>
      <c r="V163" s="63">
        <f t="shared" si="197"/>
        <v>0.30399999999999999</v>
      </c>
    </row>
    <row r="164" spans="1:22" ht="33.75" customHeight="1">
      <c r="A164" s="39"/>
      <c r="B164" s="41" t="s">
        <v>149</v>
      </c>
      <c r="C164" s="35" t="s">
        <v>258</v>
      </c>
      <c r="D164" s="36" t="s">
        <v>19</v>
      </c>
      <c r="E164" s="35" t="s">
        <v>150</v>
      </c>
      <c r="F164" s="28">
        <f t="shared" ref="F164" si="242">G164+H164+I164</f>
        <v>72584.800000000003</v>
      </c>
      <c r="G164" s="33">
        <v>9436</v>
      </c>
      <c r="H164" s="33">
        <v>63148.800000000003</v>
      </c>
      <c r="I164" s="33"/>
      <c r="J164" s="28">
        <f t="shared" ref="J164" si="243">K164+L164+M164</f>
        <v>5105.3999999999996</v>
      </c>
      <c r="K164" s="33">
        <v>663.7</v>
      </c>
      <c r="L164" s="33">
        <v>4441.7</v>
      </c>
      <c r="M164" s="33"/>
      <c r="N164" s="28">
        <f t="shared" ref="N164" si="244">O164+P164+Q164</f>
        <v>0</v>
      </c>
      <c r="O164" s="33">
        <v>0</v>
      </c>
      <c r="P164" s="33">
        <v>0</v>
      </c>
      <c r="Q164" s="33"/>
      <c r="R164" s="28">
        <f t="shared" ref="R164" si="245">S164+T164+U164</f>
        <v>0</v>
      </c>
      <c r="S164" s="33">
        <v>0</v>
      </c>
      <c r="T164" s="33">
        <v>0</v>
      </c>
      <c r="U164" s="33"/>
      <c r="V164" s="63">
        <f t="shared" si="197"/>
        <v>7.0000000000000007E-2</v>
      </c>
    </row>
    <row r="165" spans="1:22" ht="52.5" customHeight="1">
      <c r="A165" s="39"/>
      <c r="B165" s="41" t="s">
        <v>207</v>
      </c>
      <c r="C165" s="35" t="s">
        <v>314</v>
      </c>
      <c r="D165" s="36" t="s">
        <v>93</v>
      </c>
      <c r="E165" s="35" t="s">
        <v>206</v>
      </c>
      <c r="F165" s="28">
        <f t="shared" si="193"/>
        <v>23592.7</v>
      </c>
      <c r="G165" s="33">
        <v>1836.1</v>
      </c>
      <c r="H165" s="33">
        <v>21114.799999999999</v>
      </c>
      <c r="I165" s="33">
        <v>641.79999999999995</v>
      </c>
      <c r="J165" s="28">
        <f t="shared" si="239"/>
        <v>15008.4</v>
      </c>
      <c r="K165" s="33">
        <v>1175.7</v>
      </c>
      <c r="L165" s="33">
        <v>13520.1</v>
      </c>
      <c r="M165" s="33">
        <v>312.60000000000002</v>
      </c>
      <c r="N165" s="28">
        <f t="shared" si="240"/>
        <v>0</v>
      </c>
      <c r="O165" s="33">
        <v>0</v>
      </c>
      <c r="P165" s="33">
        <v>0</v>
      </c>
      <c r="Q165" s="33"/>
      <c r="R165" s="28">
        <f t="shared" si="241"/>
        <v>20731</v>
      </c>
      <c r="S165" s="33">
        <v>1658.5</v>
      </c>
      <c r="T165" s="33">
        <v>19072.5</v>
      </c>
      <c r="U165" s="33"/>
      <c r="V165" s="63">
        <f t="shared" si="197"/>
        <v>0.63600000000000001</v>
      </c>
    </row>
    <row r="166" spans="1:22" ht="52.5" customHeight="1">
      <c r="A166" s="39"/>
      <c r="B166" s="41" t="s">
        <v>209</v>
      </c>
      <c r="C166" s="35" t="s">
        <v>314</v>
      </c>
      <c r="D166" s="36" t="s">
        <v>93</v>
      </c>
      <c r="E166" s="35" t="s">
        <v>208</v>
      </c>
      <c r="F166" s="28">
        <f t="shared" ref="F166:F167" si="246">G166+H166+I166</f>
        <v>0</v>
      </c>
      <c r="G166" s="33">
        <v>0</v>
      </c>
      <c r="H166" s="33">
        <v>0</v>
      </c>
      <c r="I166" s="33"/>
      <c r="J166" s="28">
        <f t="shared" ref="J166:J167" si="247">K166+L166+M166</f>
        <v>0</v>
      </c>
      <c r="K166" s="33"/>
      <c r="L166" s="33"/>
      <c r="M166" s="33"/>
      <c r="N166" s="28">
        <f t="shared" ref="N166:N167" si="248">O166+P166+Q166</f>
        <v>18989.7</v>
      </c>
      <c r="O166" s="33">
        <v>569.70000000000005</v>
      </c>
      <c r="P166" s="33">
        <v>18420</v>
      </c>
      <c r="Q166" s="33"/>
      <c r="R166" s="28">
        <f t="shared" ref="R166:R167" si="249">S166+T166+U166</f>
        <v>0</v>
      </c>
      <c r="S166" s="33">
        <v>0</v>
      </c>
      <c r="T166" s="33">
        <v>0</v>
      </c>
      <c r="U166" s="33"/>
      <c r="V166" s="63" t="e">
        <f t="shared" si="197"/>
        <v>#DIV/0!</v>
      </c>
    </row>
    <row r="167" spans="1:22" ht="52.5" customHeight="1">
      <c r="A167" s="39"/>
      <c r="B167" s="41" t="s">
        <v>361</v>
      </c>
      <c r="C167" s="35">
        <v>821</v>
      </c>
      <c r="D167" s="36" t="s">
        <v>19</v>
      </c>
      <c r="E167" s="35" t="s">
        <v>362</v>
      </c>
      <c r="F167" s="28">
        <f t="shared" si="246"/>
        <v>105.9</v>
      </c>
      <c r="G167" s="33">
        <v>105.9</v>
      </c>
      <c r="H167" s="33"/>
      <c r="I167" s="33"/>
      <c r="J167" s="28">
        <f t="shared" si="247"/>
        <v>0</v>
      </c>
      <c r="K167" s="33"/>
      <c r="L167" s="33"/>
      <c r="M167" s="33"/>
      <c r="N167" s="28">
        <f t="shared" si="248"/>
        <v>0</v>
      </c>
      <c r="O167" s="33"/>
      <c r="P167" s="33"/>
      <c r="Q167" s="33"/>
      <c r="R167" s="28">
        <f t="shared" si="249"/>
        <v>0</v>
      </c>
      <c r="S167" s="33"/>
      <c r="T167" s="33"/>
      <c r="U167" s="33"/>
      <c r="V167" s="63">
        <f t="shared" si="197"/>
        <v>0</v>
      </c>
    </row>
    <row r="168" spans="1:22" ht="40.5" customHeight="1">
      <c r="A168" s="39"/>
      <c r="B168" s="41" t="s">
        <v>311</v>
      </c>
      <c r="C168" s="35" t="s">
        <v>314</v>
      </c>
      <c r="D168" s="36" t="s">
        <v>93</v>
      </c>
      <c r="E168" s="35" t="s">
        <v>313</v>
      </c>
      <c r="F168" s="28">
        <f t="shared" si="193"/>
        <v>0</v>
      </c>
      <c r="G168" s="33">
        <v>0</v>
      </c>
      <c r="H168" s="33">
        <v>0</v>
      </c>
      <c r="I168" s="33"/>
      <c r="J168" s="28">
        <f t="shared" si="239"/>
        <v>0</v>
      </c>
      <c r="K168" s="33"/>
      <c r="L168" s="33"/>
      <c r="M168" s="33"/>
      <c r="N168" s="28">
        <f t="shared" si="240"/>
        <v>9473.7000000000007</v>
      </c>
      <c r="O168" s="33">
        <v>473.7</v>
      </c>
      <c r="P168" s="33">
        <v>9000</v>
      </c>
      <c r="Q168" s="33"/>
      <c r="R168" s="28">
        <f t="shared" si="241"/>
        <v>0</v>
      </c>
      <c r="S168" s="33">
        <v>0</v>
      </c>
      <c r="T168" s="33">
        <v>0</v>
      </c>
      <c r="U168" s="33"/>
      <c r="V168" s="63" t="e">
        <f t="shared" si="197"/>
        <v>#DIV/0!</v>
      </c>
    </row>
    <row r="169" spans="1:22" ht="40.5" customHeight="1">
      <c r="A169" s="39"/>
      <c r="B169" s="41" t="s">
        <v>363</v>
      </c>
      <c r="C169" s="35">
        <v>814</v>
      </c>
      <c r="D169" s="93" t="s">
        <v>93</v>
      </c>
      <c r="E169" s="35" t="s">
        <v>364</v>
      </c>
      <c r="F169" s="28">
        <f t="shared" si="193"/>
        <v>5000</v>
      </c>
      <c r="G169" s="33">
        <v>5000</v>
      </c>
      <c r="H169" s="33"/>
      <c r="I169" s="33"/>
      <c r="J169" s="28">
        <f t="shared" si="239"/>
        <v>512.6</v>
      </c>
      <c r="K169" s="33">
        <v>512.6</v>
      </c>
      <c r="L169" s="33"/>
      <c r="M169" s="33"/>
      <c r="N169" s="28">
        <f t="shared" si="240"/>
        <v>0</v>
      </c>
      <c r="O169" s="33"/>
      <c r="P169" s="33"/>
      <c r="Q169" s="33"/>
      <c r="R169" s="28">
        <f t="shared" si="241"/>
        <v>0</v>
      </c>
      <c r="S169" s="33"/>
      <c r="T169" s="33"/>
      <c r="U169" s="33"/>
      <c r="V169" s="63">
        <f t="shared" si="197"/>
        <v>0.10299999999999999</v>
      </c>
    </row>
    <row r="170" spans="1:22" ht="18.75">
      <c r="A170" s="24" t="s">
        <v>94</v>
      </c>
      <c r="B170" s="48" t="s">
        <v>95</v>
      </c>
      <c r="C170" s="62" t="s">
        <v>12</v>
      </c>
      <c r="D170" s="62" t="s">
        <v>12</v>
      </c>
      <c r="E170" s="62" t="s">
        <v>12</v>
      </c>
      <c r="F170" s="28">
        <f t="shared" si="193"/>
        <v>15535.9</v>
      </c>
      <c r="G170" s="28">
        <f>SUM(G172:G174)</f>
        <v>14194.2</v>
      </c>
      <c r="H170" s="28">
        <f>SUM(H172:H174)</f>
        <v>1300</v>
      </c>
      <c r="I170" s="28">
        <f>SUM(I172:I174)</f>
        <v>41.7</v>
      </c>
      <c r="J170" s="28">
        <f t="shared" ref="J170" si="250">K170+L170+M170</f>
        <v>14493.7</v>
      </c>
      <c r="K170" s="28">
        <f>SUM(K172:K174)</f>
        <v>13193.7</v>
      </c>
      <c r="L170" s="28">
        <f>SUM(L172:L174)</f>
        <v>1300</v>
      </c>
      <c r="M170" s="28">
        <f>SUM(M172:M174)</f>
        <v>0</v>
      </c>
      <c r="N170" s="28">
        <f t="shared" ref="N170" si="251">O170+P170+Q170</f>
        <v>15535.9</v>
      </c>
      <c r="O170" s="28">
        <f>SUM(O172:O174)</f>
        <v>14194.2</v>
      </c>
      <c r="P170" s="28">
        <f>SUM(P172:P174)</f>
        <v>1300</v>
      </c>
      <c r="Q170" s="28">
        <f>SUM(Q172:Q174)</f>
        <v>41.7</v>
      </c>
      <c r="R170" s="28">
        <f t="shared" ref="R170" si="252">S170+T170+U170</f>
        <v>15535.9</v>
      </c>
      <c r="S170" s="28">
        <f>SUM(S172:S174)</f>
        <v>14194.2</v>
      </c>
      <c r="T170" s="28">
        <f>SUM(T172:T174)</f>
        <v>1300</v>
      </c>
      <c r="U170" s="28">
        <f>SUM(U172:U174)</f>
        <v>41.7</v>
      </c>
      <c r="V170" s="38">
        <f t="shared" si="197"/>
        <v>0.93300000000000005</v>
      </c>
    </row>
    <row r="171" spans="1:22" ht="18.75">
      <c r="A171" s="39"/>
      <c r="B171" s="61" t="s">
        <v>15</v>
      </c>
      <c r="C171" s="32"/>
      <c r="D171" s="42"/>
      <c r="E171" s="32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38"/>
    </row>
    <row r="172" spans="1:22" ht="33">
      <c r="A172" s="39"/>
      <c r="B172" s="41" t="s">
        <v>96</v>
      </c>
      <c r="C172" s="35" t="s">
        <v>314</v>
      </c>
      <c r="D172" s="36" t="s">
        <v>93</v>
      </c>
      <c r="E172" s="35" t="s">
        <v>170</v>
      </c>
      <c r="F172" s="28">
        <f t="shared" si="193"/>
        <v>13000</v>
      </c>
      <c r="G172" s="33">
        <v>13000</v>
      </c>
      <c r="H172" s="33"/>
      <c r="I172" s="33"/>
      <c r="J172" s="28">
        <f>K172+L172+M172</f>
        <v>12999.5</v>
      </c>
      <c r="K172" s="33">
        <v>12999.5</v>
      </c>
      <c r="L172" s="33"/>
      <c r="M172" s="33"/>
      <c r="N172" s="28">
        <f t="shared" ref="N172:N179" si="253">O172+P172+Q172</f>
        <v>13000</v>
      </c>
      <c r="O172" s="33">
        <v>13000</v>
      </c>
      <c r="P172" s="33"/>
      <c r="Q172" s="33"/>
      <c r="R172" s="28">
        <f>S172+T172+U172</f>
        <v>13000</v>
      </c>
      <c r="S172" s="33">
        <v>13000</v>
      </c>
      <c r="T172" s="33"/>
      <c r="U172" s="33"/>
      <c r="V172" s="63">
        <f t="shared" si="197"/>
        <v>1</v>
      </c>
    </row>
    <row r="173" spans="1:22" ht="55.5" customHeight="1">
      <c r="A173" s="39"/>
      <c r="B173" s="41" t="s">
        <v>211</v>
      </c>
      <c r="C173" s="35" t="s">
        <v>314</v>
      </c>
      <c r="D173" s="36" t="s">
        <v>93</v>
      </c>
      <c r="E173" s="35" t="s">
        <v>210</v>
      </c>
      <c r="F173" s="28">
        <f t="shared" si="193"/>
        <v>1494.2</v>
      </c>
      <c r="G173" s="33">
        <v>194.2</v>
      </c>
      <c r="H173" s="33">
        <v>1300</v>
      </c>
      <c r="I173" s="33"/>
      <c r="J173" s="28">
        <f>K173+L173+M173</f>
        <v>1494.2</v>
      </c>
      <c r="K173" s="33">
        <v>194.2</v>
      </c>
      <c r="L173" s="33">
        <v>1300</v>
      </c>
      <c r="M173" s="33"/>
      <c r="N173" s="28">
        <f t="shared" si="253"/>
        <v>1494.2</v>
      </c>
      <c r="O173" s="33">
        <v>194.2</v>
      </c>
      <c r="P173" s="33">
        <v>1300</v>
      </c>
      <c r="Q173" s="33"/>
      <c r="R173" s="28">
        <f>S173+T173+U173</f>
        <v>1494.2</v>
      </c>
      <c r="S173" s="33">
        <v>194.2</v>
      </c>
      <c r="T173" s="33">
        <v>1300</v>
      </c>
      <c r="U173" s="33"/>
      <c r="V173" s="63">
        <f t="shared" si="197"/>
        <v>1</v>
      </c>
    </row>
    <row r="174" spans="1:22" ht="75.75" customHeight="1">
      <c r="A174" s="39"/>
      <c r="B174" s="41" t="s">
        <v>172</v>
      </c>
      <c r="C174" s="35" t="s">
        <v>314</v>
      </c>
      <c r="D174" s="36" t="s">
        <v>93</v>
      </c>
      <c r="E174" s="35" t="s">
        <v>171</v>
      </c>
      <c r="F174" s="28">
        <f t="shared" si="193"/>
        <v>1041.7</v>
      </c>
      <c r="G174" s="33">
        <v>1000</v>
      </c>
      <c r="H174" s="33"/>
      <c r="I174" s="33">
        <v>41.7</v>
      </c>
      <c r="J174" s="28">
        <f>K174+L174+M174</f>
        <v>0</v>
      </c>
      <c r="K174" s="33"/>
      <c r="L174" s="33"/>
      <c r="M174" s="33"/>
      <c r="N174" s="28">
        <f t="shared" si="253"/>
        <v>1041.7</v>
      </c>
      <c r="O174" s="33">
        <v>1000</v>
      </c>
      <c r="P174" s="33"/>
      <c r="Q174" s="33">
        <v>41.7</v>
      </c>
      <c r="R174" s="28">
        <f>S174+T174+U174</f>
        <v>1041.7</v>
      </c>
      <c r="S174" s="33">
        <v>1000</v>
      </c>
      <c r="T174" s="33"/>
      <c r="U174" s="33">
        <v>41.7</v>
      </c>
      <c r="V174" s="63">
        <f t="shared" si="197"/>
        <v>0</v>
      </c>
    </row>
    <row r="175" spans="1:22" ht="30" customHeight="1">
      <c r="A175" s="24" t="s">
        <v>193</v>
      </c>
      <c r="B175" s="48" t="s">
        <v>335</v>
      </c>
      <c r="C175" s="62" t="s">
        <v>12</v>
      </c>
      <c r="D175" s="62" t="s">
        <v>12</v>
      </c>
      <c r="E175" s="62" t="s">
        <v>12</v>
      </c>
      <c r="F175" s="28">
        <f t="shared" ref="F175" si="254">G175+H175+I175</f>
        <v>5700</v>
      </c>
      <c r="G175" s="28">
        <f>SUM(G177)</f>
        <v>0</v>
      </c>
      <c r="H175" s="28">
        <f t="shared" ref="H175:I175" si="255">SUM(H177)</f>
        <v>5700</v>
      </c>
      <c r="I175" s="28">
        <f t="shared" si="255"/>
        <v>0</v>
      </c>
      <c r="J175" s="28">
        <f t="shared" ref="J175" si="256">K175+L175+M175</f>
        <v>5700</v>
      </c>
      <c r="K175" s="28">
        <f>SUM(K177)</f>
        <v>0</v>
      </c>
      <c r="L175" s="28">
        <f t="shared" ref="L175:M175" si="257">SUM(L177)</f>
        <v>5700</v>
      </c>
      <c r="M175" s="28">
        <f t="shared" si="257"/>
        <v>0</v>
      </c>
      <c r="N175" s="28">
        <f t="shared" si="253"/>
        <v>0</v>
      </c>
      <c r="O175" s="28">
        <f>SUM(O177)</f>
        <v>0</v>
      </c>
      <c r="P175" s="28">
        <f t="shared" ref="P175:Q175" si="258">SUM(P177)</f>
        <v>0</v>
      </c>
      <c r="Q175" s="28">
        <f t="shared" si="258"/>
        <v>0</v>
      </c>
      <c r="R175" s="28">
        <f>S175+T175+U175</f>
        <v>0</v>
      </c>
      <c r="S175" s="28">
        <f>SUM(S177)</f>
        <v>0</v>
      </c>
      <c r="T175" s="28">
        <f t="shared" ref="T175:U175" si="259">SUM(T177)</f>
        <v>0</v>
      </c>
      <c r="U175" s="28">
        <f t="shared" si="259"/>
        <v>0</v>
      </c>
      <c r="V175" s="38">
        <f t="shared" ref="V175" si="260">J175/F175</f>
        <v>1</v>
      </c>
    </row>
    <row r="176" spans="1:22" ht="23.25" customHeight="1">
      <c r="A176" s="39"/>
      <c r="B176" s="61" t="s">
        <v>15</v>
      </c>
      <c r="C176" s="32"/>
      <c r="D176" s="42"/>
      <c r="E176" s="32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38"/>
    </row>
    <row r="177" spans="1:101" ht="60" customHeight="1">
      <c r="A177" s="39"/>
      <c r="B177" s="41" t="s">
        <v>242</v>
      </c>
      <c r="C177" s="35" t="s">
        <v>314</v>
      </c>
      <c r="D177" s="36" t="s">
        <v>93</v>
      </c>
      <c r="E177" s="35" t="s">
        <v>151</v>
      </c>
      <c r="F177" s="28">
        <f t="shared" ref="F177" si="261">G177+H177+I177</f>
        <v>5700</v>
      </c>
      <c r="G177" s="33"/>
      <c r="H177" s="33">
        <v>5700</v>
      </c>
      <c r="I177" s="33"/>
      <c r="J177" s="28">
        <f>K177+L177+M177</f>
        <v>5700</v>
      </c>
      <c r="K177" s="33"/>
      <c r="L177" s="33">
        <v>5700</v>
      </c>
      <c r="M177" s="33"/>
      <c r="N177" s="28">
        <f t="shared" ref="N177" si="262">O177+P177+Q177</f>
        <v>0</v>
      </c>
      <c r="O177" s="33"/>
      <c r="P177" s="33"/>
      <c r="Q177" s="33"/>
      <c r="R177" s="28">
        <f>S177+T177+U177</f>
        <v>0</v>
      </c>
      <c r="S177" s="33"/>
      <c r="T177" s="33"/>
      <c r="U177" s="33"/>
      <c r="V177" s="63">
        <f t="shared" ref="V177" si="263">J177/F177</f>
        <v>1</v>
      </c>
    </row>
    <row r="178" spans="1:101" s="66" customFormat="1" ht="78.75" customHeight="1">
      <c r="A178" s="19" t="s">
        <v>97</v>
      </c>
      <c r="B178" s="60" t="s">
        <v>98</v>
      </c>
      <c r="C178" s="21" t="s">
        <v>12</v>
      </c>
      <c r="D178" s="21" t="s">
        <v>12</v>
      </c>
      <c r="E178" s="21" t="s">
        <v>12</v>
      </c>
      <c r="F178" s="45">
        <f>G178+H178+I178</f>
        <v>197297.6</v>
      </c>
      <c r="G178" s="45">
        <f>G179+G182+G186</f>
        <v>6908.8</v>
      </c>
      <c r="H178" s="45">
        <f>H179+H182+H186</f>
        <v>190388.8</v>
      </c>
      <c r="I178" s="45">
        <f>I179+I182+I186</f>
        <v>0</v>
      </c>
      <c r="J178" s="45">
        <f>K178+L178+M178</f>
        <v>123685.5</v>
      </c>
      <c r="K178" s="45">
        <f>K179+K182+K186</f>
        <v>4700.5</v>
      </c>
      <c r="L178" s="45">
        <f>L179+L182+L186</f>
        <v>118985</v>
      </c>
      <c r="M178" s="45">
        <f>M179+M182+M186</f>
        <v>0</v>
      </c>
      <c r="N178" s="45">
        <f>O178+P178+Q178</f>
        <v>268189.09999999998</v>
      </c>
      <c r="O178" s="45">
        <f>O179+O182+O186</f>
        <v>9035.5</v>
      </c>
      <c r="P178" s="45">
        <f>P179+P182+P186</f>
        <v>259153.6</v>
      </c>
      <c r="Q178" s="45">
        <f>Q179+Q182+Q186</f>
        <v>0</v>
      </c>
      <c r="R178" s="45">
        <f t="shared" ref="R178:R179" si="264">S178+T178+U178</f>
        <v>237776.4</v>
      </c>
      <c r="S178" s="45">
        <f>S179+S182+S186</f>
        <v>8123.3</v>
      </c>
      <c r="T178" s="45">
        <f>T179+T182+T186</f>
        <v>229653.1</v>
      </c>
      <c r="U178" s="45">
        <f>U179+U182+U186</f>
        <v>0</v>
      </c>
      <c r="V178" s="46">
        <f t="shared" ref="V178:V204" si="265">J178/F178</f>
        <v>0.627</v>
      </c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</row>
    <row r="179" spans="1:101" ht="56.25" customHeight="1">
      <c r="A179" s="11" t="s">
        <v>99</v>
      </c>
      <c r="B179" s="25" t="s">
        <v>315</v>
      </c>
      <c r="C179" s="37" t="s">
        <v>12</v>
      </c>
      <c r="D179" s="37" t="s">
        <v>12</v>
      </c>
      <c r="E179" s="37" t="s">
        <v>12</v>
      </c>
      <c r="F179" s="27">
        <f t="shared" ref="F179:F205" si="266">G179+H179+I179</f>
        <v>8567</v>
      </c>
      <c r="G179" s="28">
        <f>SUM(G181:G181)</f>
        <v>257</v>
      </c>
      <c r="H179" s="28">
        <f>SUM(H181:H181)</f>
        <v>8310</v>
      </c>
      <c r="I179" s="28">
        <f>SUM(I181:I181)</f>
        <v>0</v>
      </c>
      <c r="J179" s="27">
        <f t="shared" ref="J179" si="267">K179+L179+M179</f>
        <v>8567</v>
      </c>
      <c r="K179" s="28">
        <f>SUM(K181:K181)</f>
        <v>257</v>
      </c>
      <c r="L179" s="28">
        <f>SUM(L181:L181)</f>
        <v>8310</v>
      </c>
      <c r="M179" s="28">
        <f>SUM(M181:M181)</f>
        <v>0</v>
      </c>
      <c r="N179" s="27">
        <f t="shared" si="253"/>
        <v>10593.5</v>
      </c>
      <c r="O179" s="28">
        <f>SUM(O181:O181)</f>
        <v>317.8</v>
      </c>
      <c r="P179" s="28">
        <f>SUM(P181:P181)</f>
        <v>10275.700000000001</v>
      </c>
      <c r="Q179" s="28">
        <f>SUM(Q181:Q181)</f>
        <v>0</v>
      </c>
      <c r="R179" s="27">
        <f t="shared" si="264"/>
        <v>11765.4</v>
      </c>
      <c r="S179" s="28">
        <f>SUM(S181:S181)</f>
        <v>353</v>
      </c>
      <c r="T179" s="28">
        <f>SUM(T181:T181)</f>
        <v>11412.4</v>
      </c>
      <c r="U179" s="28">
        <f>SUM(U181:U181)</f>
        <v>0</v>
      </c>
      <c r="V179" s="29">
        <f t="shared" si="265"/>
        <v>1</v>
      </c>
    </row>
    <row r="180" spans="1:101" ht="18.75">
      <c r="A180" s="14"/>
      <c r="B180" s="65" t="s">
        <v>15</v>
      </c>
      <c r="C180" s="57"/>
      <c r="D180" s="57"/>
      <c r="E180" s="57"/>
      <c r="F180" s="28"/>
      <c r="G180" s="28"/>
      <c r="H180" s="28"/>
      <c r="I180" s="28"/>
      <c r="J180" s="28"/>
      <c r="K180" s="28"/>
      <c r="L180" s="28"/>
      <c r="M180" s="28"/>
      <c r="N180" s="27"/>
      <c r="O180" s="28"/>
      <c r="P180" s="28"/>
      <c r="Q180" s="28"/>
      <c r="R180" s="27"/>
      <c r="S180" s="28"/>
      <c r="T180" s="28"/>
      <c r="U180" s="28"/>
      <c r="V180" s="38"/>
    </row>
    <row r="181" spans="1:101" ht="89.25" customHeight="1">
      <c r="A181" s="49"/>
      <c r="B181" s="96" t="s">
        <v>340</v>
      </c>
      <c r="C181" s="51" t="s">
        <v>317</v>
      </c>
      <c r="D181" s="52" t="s">
        <v>64</v>
      </c>
      <c r="E181" s="51" t="s">
        <v>198</v>
      </c>
      <c r="F181" s="67">
        <f t="shared" si="266"/>
        <v>8567</v>
      </c>
      <c r="G181" s="53">
        <v>257.01</v>
      </c>
      <c r="H181" s="53">
        <v>8310</v>
      </c>
      <c r="I181" s="53"/>
      <c r="J181" s="67">
        <f t="shared" ref="J181:J182" si="268">K181+L181+M181</f>
        <v>8567</v>
      </c>
      <c r="K181" s="53">
        <v>257</v>
      </c>
      <c r="L181" s="53">
        <v>8310</v>
      </c>
      <c r="M181" s="53"/>
      <c r="N181" s="67">
        <f t="shared" ref="N181:N182" si="269">O181+P181+Q181</f>
        <v>10593.5</v>
      </c>
      <c r="O181" s="53">
        <v>317.8</v>
      </c>
      <c r="P181" s="53">
        <v>10275.700000000001</v>
      </c>
      <c r="Q181" s="53"/>
      <c r="R181" s="67">
        <f t="shared" ref="R181:R182" si="270">S181+T181+U181</f>
        <v>11765.4</v>
      </c>
      <c r="S181" s="53">
        <v>352.96</v>
      </c>
      <c r="T181" s="53">
        <v>11412.4</v>
      </c>
      <c r="U181" s="53"/>
      <c r="V181" s="68">
        <f t="shared" si="265"/>
        <v>1</v>
      </c>
    </row>
    <row r="182" spans="1:101" ht="44.25" customHeight="1">
      <c r="A182" s="24" t="s">
        <v>100</v>
      </c>
      <c r="B182" s="48" t="s">
        <v>316</v>
      </c>
      <c r="C182" s="26" t="s">
        <v>12</v>
      </c>
      <c r="D182" s="26" t="s">
        <v>12</v>
      </c>
      <c r="E182" s="26" t="s">
        <v>12</v>
      </c>
      <c r="F182" s="28">
        <f>G182+H182+I182</f>
        <v>74632.2</v>
      </c>
      <c r="G182" s="28">
        <f>SUM(G184:G185)</f>
        <v>2239</v>
      </c>
      <c r="H182" s="28">
        <f>SUM(H184:H185)</f>
        <v>72393.2</v>
      </c>
      <c r="I182" s="28">
        <f>SUM(I184:I185)</f>
        <v>0</v>
      </c>
      <c r="J182" s="28">
        <f t="shared" si="268"/>
        <v>11255.1</v>
      </c>
      <c r="K182" s="28">
        <f>SUM(K184:K185)</f>
        <v>337.7</v>
      </c>
      <c r="L182" s="28">
        <f>SUM(L184:L185)</f>
        <v>10917.4</v>
      </c>
      <c r="M182" s="28">
        <f>SUM(M184:M185)</f>
        <v>0</v>
      </c>
      <c r="N182" s="27">
        <f t="shared" si="269"/>
        <v>94146.6</v>
      </c>
      <c r="O182" s="28">
        <f>SUM(O184:O185)</f>
        <v>2824.4</v>
      </c>
      <c r="P182" s="28">
        <f>SUM(P184:P185)</f>
        <v>91322.2</v>
      </c>
      <c r="Q182" s="28">
        <f>SUM(Q184:Q185)</f>
        <v>0</v>
      </c>
      <c r="R182" s="27">
        <f t="shared" si="270"/>
        <v>112808.5</v>
      </c>
      <c r="S182" s="28">
        <f>SUM(S184:S185)</f>
        <v>3384.3</v>
      </c>
      <c r="T182" s="28">
        <f>SUM(T184:T185)</f>
        <v>109424.2</v>
      </c>
      <c r="U182" s="28">
        <f>SUM(U184:U185)</f>
        <v>0</v>
      </c>
      <c r="V182" s="29">
        <f t="shared" si="265"/>
        <v>0.151</v>
      </c>
    </row>
    <row r="183" spans="1:101" ht="18.75">
      <c r="A183" s="39"/>
      <c r="B183" s="61" t="s">
        <v>15</v>
      </c>
      <c r="C183" s="32"/>
      <c r="D183" s="32"/>
      <c r="E183" s="32"/>
      <c r="F183" s="28"/>
      <c r="G183" s="28"/>
      <c r="H183" s="28"/>
      <c r="I183" s="28"/>
      <c r="J183" s="28"/>
      <c r="K183" s="28"/>
      <c r="L183" s="28"/>
      <c r="M183" s="28"/>
      <c r="N183" s="27"/>
      <c r="O183" s="28"/>
      <c r="P183" s="28"/>
      <c r="Q183" s="28"/>
      <c r="R183" s="27"/>
      <c r="S183" s="28"/>
      <c r="T183" s="28"/>
      <c r="U183" s="28"/>
      <c r="V183" s="38"/>
    </row>
    <row r="184" spans="1:101" ht="136.5" customHeight="1">
      <c r="A184" s="39"/>
      <c r="B184" s="98" t="s">
        <v>347</v>
      </c>
      <c r="C184" s="51" t="s">
        <v>317</v>
      </c>
      <c r="D184" s="52" t="s">
        <v>64</v>
      </c>
      <c r="E184" s="35" t="s">
        <v>109</v>
      </c>
      <c r="F184" s="28">
        <f t="shared" ref="F184" si="271">G184+H184+I184</f>
        <v>63377.1</v>
      </c>
      <c r="G184" s="33">
        <v>1901.31</v>
      </c>
      <c r="H184" s="33">
        <v>61475.8</v>
      </c>
      <c r="I184" s="33"/>
      <c r="J184" s="28">
        <f t="shared" ref="J184" si="272">K184+L184+M184</f>
        <v>0</v>
      </c>
      <c r="K184" s="33"/>
      <c r="L184" s="33"/>
      <c r="M184" s="33"/>
      <c r="N184" s="28">
        <f t="shared" ref="N184" si="273">O184+P184+Q184</f>
        <v>76425.7</v>
      </c>
      <c r="O184" s="33">
        <v>2292.8000000000002</v>
      </c>
      <c r="P184" s="33">
        <v>74132.899999999994</v>
      </c>
      <c r="Q184" s="33"/>
      <c r="R184" s="28">
        <f t="shared" ref="R184" si="274">S184+T184+U184</f>
        <v>92736.3</v>
      </c>
      <c r="S184" s="33">
        <v>2782.09</v>
      </c>
      <c r="T184" s="33">
        <v>89954.2</v>
      </c>
      <c r="U184" s="33"/>
      <c r="V184" s="63">
        <f t="shared" ref="V184" si="275">J184/F184</f>
        <v>0</v>
      </c>
    </row>
    <row r="185" spans="1:101" ht="134.25" customHeight="1">
      <c r="A185" s="39"/>
      <c r="B185" s="41" t="s">
        <v>318</v>
      </c>
      <c r="C185" s="51" t="s">
        <v>317</v>
      </c>
      <c r="D185" s="52" t="s">
        <v>64</v>
      </c>
      <c r="E185" s="35" t="s">
        <v>199</v>
      </c>
      <c r="F185" s="28">
        <f t="shared" si="266"/>
        <v>11255.1</v>
      </c>
      <c r="G185" s="33">
        <v>337.65</v>
      </c>
      <c r="H185" s="33">
        <v>10917.4</v>
      </c>
      <c r="I185" s="33"/>
      <c r="J185" s="28">
        <f t="shared" ref="J185" si="276">K185+L185+M185</f>
        <v>11255.1</v>
      </c>
      <c r="K185" s="33">
        <v>337.7</v>
      </c>
      <c r="L185" s="33">
        <v>10917.4</v>
      </c>
      <c r="M185" s="33"/>
      <c r="N185" s="28">
        <f t="shared" ref="N185" si="277">O185+P185+Q185</f>
        <v>17720.900000000001</v>
      </c>
      <c r="O185" s="33">
        <v>531.6</v>
      </c>
      <c r="P185" s="33">
        <v>17189.3</v>
      </c>
      <c r="Q185" s="33"/>
      <c r="R185" s="28">
        <f t="shared" ref="R185" si="278">S185+T185+U185</f>
        <v>20072.2</v>
      </c>
      <c r="S185" s="33">
        <v>602.16</v>
      </c>
      <c r="T185" s="33">
        <v>19470</v>
      </c>
      <c r="U185" s="33"/>
      <c r="V185" s="63">
        <v>0</v>
      </c>
      <c r="X185" s="18"/>
    </row>
    <row r="186" spans="1:101" ht="45" customHeight="1">
      <c r="A186" s="11" t="s">
        <v>101</v>
      </c>
      <c r="B186" s="25" t="s">
        <v>339</v>
      </c>
      <c r="C186" s="37" t="s">
        <v>12</v>
      </c>
      <c r="D186" s="69" t="s">
        <v>12</v>
      </c>
      <c r="E186" s="37" t="s">
        <v>12</v>
      </c>
      <c r="F186" s="27">
        <f t="shared" si="266"/>
        <v>114098.4</v>
      </c>
      <c r="G186" s="28">
        <f>SUM(G188:G195)</f>
        <v>4412.8</v>
      </c>
      <c r="H186" s="28">
        <f t="shared" ref="H186:I186" si="279">SUM(H188:H195)</f>
        <v>109685.6</v>
      </c>
      <c r="I186" s="28">
        <f t="shared" si="279"/>
        <v>0</v>
      </c>
      <c r="J186" s="27">
        <f t="shared" ref="J186" si="280">K186+L186+M186</f>
        <v>103863.4</v>
      </c>
      <c r="K186" s="28">
        <f>SUM(K188:K195)</f>
        <v>4105.8</v>
      </c>
      <c r="L186" s="28">
        <f t="shared" ref="L186:M186" si="281">SUM(L188:L195)</f>
        <v>99757.6</v>
      </c>
      <c r="M186" s="28">
        <f t="shared" si="281"/>
        <v>0</v>
      </c>
      <c r="N186" s="27">
        <f t="shared" ref="N186" si="282">O186+P186+Q186</f>
        <v>163449</v>
      </c>
      <c r="O186" s="28">
        <f>SUM(O188:O195)</f>
        <v>5893.3</v>
      </c>
      <c r="P186" s="28">
        <f>SUM(P188:P195)</f>
        <v>157555.70000000001</v>
      </c>
      <c r="Q186" s="28">
        <f t="shared" ref="Q186" si="283">SUM(Q188:Q195)</f>
        <v>0</v>
      </c>
      <c r="R186" s="27">
        <f t="shared" ref="R186" si="284">S186+T186+U186</f>
        <v>113202.5</v>
      </c>
      <c r="S186" s="28">
        <f>SUM(S188:S195)</f>
        <v>4386</v>
      </c>
      <c r="T186" s="28">
        <f t="shared" ref="T186:U186" si="285">SUM(T188:T195)</f>
        <v>108816.5</v>
      </c>
      <c r="U186" s="28">
        <f t="shared" si="285"/>
        <v>0</v>
      </c>
      <c r="V186" s="29">
        <f t="shared" si="265"/>
        <v>0.91</v>
      </c>
    </row>
    <row r="187" spans="1:101" ht="18.75">
      <c r="A187" s="39"/>
      <c r="B187" s="41" t="s">
        <v>15</v>
      </c>
      <c r="C187" s="32"/>
      <c r="D187" s="42"/>
      <c r="E187" s="32"/>
      <c r="F187" s="28"/>
      <c r="G187" s="33"/>
      <c r="H187" s="33"/>
      <c r="I187" s="33"/>
      <c r="J187" s="28"/>
      <c r="K187" s="33"/>
      <c r="L187" s="33"/>
      <c r="M187" s="33"/>
      <c r="N187" s="28"/>
      <c r="O187" s="33"/>
      <c r="P187" s="33"/>
      <c r="Q187" s="33"/>
      <c r="R187" s="28"/>
      <c r="S187" s="33"/>
      <c r="T187" s="33"/>
      <c r="U187" s="33"/>
      <c r="V187" s="63"/>
    </row>
    <row r="188" spans="1:101" ht="115.5">
      <c r="A188" s="39"/>
      <c r="B188" s="41" t="s">
        <v>319</v>
      </c>
      <c r="C188" s="35" t="s">
        <v>317</v>
      </c>
      <c r="D188" s="36" t="s">
        <v>64</v>
      </c>
      <c r="E188" s="35" t="s">
        <v>110</v>
      </c>
      <c r="F188" s="28">
        <f t="shared" si="266"/>
        <v>2577.3000000000002</v>
      </c>
      <c r="G188" s="33">
        <v>77.3</v>
      </c>
      <c r="H188" s="33">
        <v>2500</v>
      </c>
      <c r="I188" s="33"/>
      <c r="J188" s="28">
        <f t="shared" ref="J188:J194" si="286">K188+L188+M188</f>
        <v>2577.3000000000002</v>
      </c>
      <c r="K188" s="33">
        <v>77.3</v>
      </c>
      <c r="L188" s="33">
        <v>2500</v>
      </c>
      <c r="M188" s="33"/>
      <c r="N188" s="28">
        <f t="shared" ref="N188:N194" si="287">O188+P188+Q188</f>
        <v>2577.3000000000002</v>
      </c>
      <c r="O188" s="33">
        <v>77.3</v>
      </c>
      <c r="P188" s="33">
        <v>2500</v>
      </c>
      <c r="Q188" s="33"/>
      <c r="R188" s="28">
        <f t="shared" ref="R188:R194" si="288">S188+T188+U188</f>
        <v>0</v>
      </c>
      <c r="S188" s="33">
        <v>0</v>
      </c>
      <c r="T188" s="33">
        <v>0</v>
      </c>
      <c r="U188" s="33"/>
      <c r="V188" s="63">
        <f t="shared" si="265"/>
        <v>1</v>
      </c>
    </row>
    <row r="189" spans="1:101" ht="115.5">
      <c r="A189" s="39"/>
      <c r="B189" s="41" t="s">
        <v>320</v>
      </c>
      <c r="C189" s="35" t="s">
        <v>317</v>
      </c>
      <c r="D189" s="36" t="s">
        <v>64</v>
      </c>
      <c r="E189" s="35" t="s">
        <v>324</v>
      </c>
      <c r="F189" s="28">
        <f t="shared" si="266"/>
        <v>3608.3</v>
      </c>
      <c r="G189" s="33">
        <v>108.25</v>
      </c>
      <c r="H189" s="33">
        <v>3500</v>
      </c>
      <c r="I189" s="33"/>
      <c r="J189" s="28">
        <f t="shared" si="286"/>
        <v>3608.3</v>
      </c>
      <c r="K189" s="33">
        <v>108.3</v>
      </c>
      <c r="L189" s="33">
        <v>3500</v>
      </c>
      <c r="M189" s="33"/>
      <c r="N189" s="28">
        <f t="shared" si="287"/>
        <v>3608.2</v>
      </c>
      <c r="O189" s="33">
        <v>108.2</v>
      </c>
      <c r="P189" s="33">
        <v>3500</v>
      </c>
      <c r="Q189" s="33"/>
      <c r="R189" s="28">
        <f t="shared" si="288"/>
        <v>0</v>
      </c>
      <c r="S189" s="33">
        <v>0</v>
      </c>
      <c r="T189" s="33">
        <v>0</v>
      </c>
      <c r="U189" s="33"/>
      <c r="V189" s="63">
        <f t="shared" si="265"/>
        <v>1</v>
      </c>
    </row>
    <row r="190" spans="1:101" ht="99">
      <c r="A190" s="39"/>
      <c r="B190" s="41" t="s">
        <v>321</v>
      </c>
      <c r="C190" s="35" t="s">
        <v>317</v>
      </c>
      <c r="D190" s="36" t="s">
        <v>64</v>
      </c>
      <c r="E190" s="35" t="s">
        <v>181</v>
      </c>
      <c r="F190" s="28">
        <f t="shared" si="266"/>
        <v>11670.4</v>
      </c>
      <c r="G190" s="33">
        <v>350.11</v>
      </c>
      <c r="H190" s="33">
        <v>11320.3</v>
      </c>
      <c r="I190" s="33"/>
      <c r="J190" s="28">
        <f t="shared" si="286"/>
        <v>11670.4</v>
      </c>
      <c r="K190" s="33">
        <v>350.1</v>
      </c>
      <c r="L190" s="33">
        <v>11320.3</v>
      </c>
      <c r="M190" s="33"/>
      <c r="N190" s="28">
        <f t="shared" si="287"/>
        <v>11670.4</v>
      </c>
      <c r="O190" s="33">
        <v>350.1</v>
      </c>
      <c r="P190" s="33">
        <v>11320.3</v>
      </c>
      <c r="Q190" s="33"/>
      <c r="R190" s="28">
        <f t="shared" si="288"/>
        <v>0</v>
      </c>
      <c r="S190" s="33">
        <v>0</v>
      </c>
      <c r="T190" s="33">
        <v>0</v>
      </c>
      <c r="U190" s="33"/>
      <c r="V190" s="63">
        <f t="shared" si="265"/>
        <v>1</v>
      </c>
    </row>
    <row r="191" spans="1:101" ht="99">
      <c r="A191" s="39"/>
      <c r="B191" s="41" t="s">
        <v>322</v>
      </c>
      <c r="C191" s="35" t="s">
        <v>317</v>
      </c>
      <c r="D191" s="36" t="s">
        <v>64</v>
      </c>
      <c r="E191" s="35" t="s">
        <v>200</v>
      </c>
      <c r="F191" s="28">
        <f t="shared" si="266"/>
        <v>10975.6</v>
      </c>
      <c r="G191" s="33">
        <v>329.27</v>
      </c>
      <c r="H191" s="33">
        <v>10646.3</v>
      </c>
      <c r="I191" s="33"/>
      <c r="J191" s="28">
        <f t="shared" si="286"/>
        <v>10975.6</v>
      </c>
      <c r="K191" s="33">
        <v>329.3</v>
      </c>
      <c r="L191" s="33">
        <v>10646.3</v>
      </c>
      <c r="M191" s="33"/>
      <c r="N191" s="28">
        <f t="shared" si="287"/>
        <v>11469.2</v>
      </c>
      <c r="O191" s="33">
        <v>344.1</v>
      </c>
      <c r="P191" s="33">
        <v>11125.1</v>
      </c>
      <c r="Q191" s="33"/>
      <c r="R191" s="28">
        <f t="shared" si="288"/>
        <v>10450.299999999999</v>
      </c>
      <c r="S191" s="33">
        <v>313.51</v>
      </c>
      <c r="T191" s="33">
        <v>10136.799999999999</v>
      </c>
      <c r="U191" s="33"/>
      <c r="V191" s="63">
        <f t="shared" si="265"/>
        <v>1</v>
      </c>
    </row>
    <row r="192" spans="1:101" ht="49.5">
      <c r="A192" s="39"/>
      <c r="B192" s="41" t="s">
        <v>201</v>
      </c>
      <c r="C192" s="35" t="s">
        <v>325</v>
      </c>
      <c r="D192" s="36" t="s">
        <v>237</v>
      </c>
      <c r="E192" s="35" t="s">
        <v>202</v>
      </c>
      <c r="F192" s="28">
        <f t="shared" si="266"/>
        <v>40527.5</v>
      </c>
      <c r="G192" s="33">
        <f>1215.8+0.03</f>
        <v>1215.8</v>
      </c>
      <c r="H192" s="33">
        <v>39311.699999999997</v>
      </c>
      <c r="I192" s="33"/>
      <c r="J192" s="28">
        <f t="shared" si="286"/>
        <v>40527.5</v>
      </c>
      <c r="K192" s="33">
        <v>1215.8</v>
      </c>
      <c r="L192" s="33">
        <v>39311.699999999997</v>
      </c>
      <c r="M192" s="33"/>
      <c r="N192" s="28">
        <f t="shared" si="287"/>
        <v>83511.3</v>
      </c>
      <c r="O192" s="33">
        <v>2505.3000000000002</v>
      </c>
      <c r="P192" s="33">
        <v>81006</v>
      </c>
      <c r="Q192" s="33"/>
      <c r="R192" s="28">
        <f t="shared" si="288"/>
        <v>30879.1</v>
      </c>
      <c r="S192" s="33">
        <v>926.4</v>
      </c>
      <c r="T192" s="33">
        <v>29952.7</v>
      </c>
      <c r="U192" s="33"/>
      <c r="V192" s="63">
        <f t="shared" si="265"/>
        <v>1</v>
      </c>
    </row>
    <row r="193" spans="1:101" ht="90" customHeight="1">
      <c r="A193" s="39"/>
      <c r="B193" s="41" t="s">
        <v>323</v>
      </c>
      <c r="C193" s="35" t="s">
        <v>317</v>
      </c>
      <c r="D193" s="36" t="s">
        <v>64</v>
      </c>
      <c r="E193" s="35" t="s">
        <v>203</v>
      </c>
      <c r="F193" s="28">
        <f t="shared" si="266"/>
        <v>3529.2</v>
      </c>
      <c r="G193" s="33">
        <v>105.88</v>
      </c>
      <c r="H193" s="33">
        <v>3423.3</v>
      </c>
      <c r="I193" s="33"/>
      <c r="J193" s="28">
        <f t="shared" si="286"/>
        <v>3529.2</v>
      </c>
      <c r="K193" s="33">
        <v>105.9</v>
      </c>
      <c r="L193" s="33">
        <v>3423.3</v>
      </c>
      <c r="M193" s="33"/>
      <c r="N193" s="28">
        <f t="shared" si="287"/>
        <v>3529.2</v>
      </c>
      <c r="O193" s="33">
        <v>105.9</v>
      </c>
      <c r="P193" s="33">
        <v>3423.3</v>
      </c>
      <c r="Q193" s="33"/>
      <c r="R193" s="28">
        <f t="shared" si="288"/>
        <v>0</v>
      </c>
      <c r="S193" s="33">
        <v>0</v>
      </c>
      <c r="T193" s="33">
        <v>0</v>
      </c>
      <c r="U193" s="33"/>
      <c r="V193" s="63">
        <f t="shared" si="265"/>
        <v>1</v>
      </c>
    </row>
    <row r="194" spans="1:101" ht="49.5">
      <c r="A194" s="39"/>
      <c r="B194" s="41" t="s">
        <v>243</v>
      </c>
      <c r="C194" s="35" t="s">
        <v>326</v>
      </c>
      <c r="D194" s="36" t="s">
        <v>102</v>
      </c>
      <c r="E194" s="35" t="s">
        <v>238</v>
      </c>
      <c r="F194" s="28">
        <f t="shared" si="266"/>
        <v>40189.699999999997</v>
      </c>
      <c r="G194" s="33">
        <v>1205.7</v>
      </c>
      <c r="H194" s="33">
        <v>38984</v>
      </c>
      <c r="I194" s="33"/>
      <c r="J194" s="28">
        <f t="shared" si="286"/>
        <v>29954.6</v>
      </c>
      <c r="K194" s="33">
        <v>898.6</v>
      </c>
      <c r="L194" s="33">
        <v>29056</v>
      </c>
      <c r="M194" s="33"/>
      <c r="N194" s="28">
        <f t="shared" si="287"/>
        <v>46062.9</v>
      </c>
      <c r="O194" s="33">
        <v>1381.9</v>
      </c>
      <c r="P194" s="33">
        <v>44681</v>
      </c>
      <c r="Q194" s="33"/>
      <c r="R194" s="28">
        <f t="shared" si="288"/>
        <v>70852.600000000006</v>
      </c>
      <c r="S194" s="33">
        <v>2125.6</v>
      </c>
      <c r="T194" s="33">
        <v>68727</v>
      </c>
      <c r="U194" s="33"/>
      <c r="V194" s="63">
        <f t="shared" si="265"/>
        <v>0.745</v>
      </c>
    </row>
    <row r="195" spans="1:101" ht="62.25" customHeight="1">
      <c r="A195" s="39"/>
      <c r="B195" s="41" t="s">
        <v>103</v>
      </c>
      <c r="C195" s="35" t="s">
        <v>326</v>
      </c>
      <c r="D195" s="36" t="s">
        <v>102</v>
      </c>
      <c r="E195" s="35" t="s">
        <v>205</v>
      </c>
      <c r="F195" s="28">
        <f t="shared" si="266"/>
        <v>1020.5</v>
      </c>
      <c r="G195" s="33">
        <v>1020.5</v>
      </c>
      <c r="H195" s="33"/>
      <c r="I195" s="33"/>
      <c r="J195" s="28">
        <f t="shared" ref="J195:J197" si="289">K195+L195+M195</f>
        <v>1020.5</v>
      </c>
      <c r="K195" s="33">
        <v>1020.5</v>
      </c>
      <c r="L195" s="33"/>
      <c r="M195" s="33"/>
      <c r="N195" s="28">
        <f t="shared" ref="N195:N197" si="290">O195+P195+Q195</f>
        <v>1020.5</v>
      </c>
      <c r="O195" s="33">
        <v>1020.5</v>
      </c>
      <c r="P195" s="33"/>
      <c r="Q195" s="33"/>
      <c r="R195" s="28">
        <f t="shared" ref="R195:R197" si="291">S195+T195+U195</f>
        <v>1020.5</v>
      </c>
      <c r="S195" s="33">
        <v>1020.5</v>
      </c>
      <c r="T195" s="33"/>
      <c r="U195" s="33"/>
      <c r="V195" s="63">
        <f t="shared" si="265"/>
        <v>1</v>
      </c>
    </row>
    <row r="196" spans="1:101" s="66" customFormat="1" ht="51.75" customHeight="1">
      <c r="A196" s="19" t="s">
        <v>104</v>
      </c>
      <c r="B196" s="60" t="s">
        <v>105</v>
      </c>
      <c r="C196" s="21" t="s">
        <v>12</v>
      </c>
      <c r="D196" s="21" t="s">
        <v>12</v>
      </c>
      <c r="E196" s="21" t="s">
        <v>12</v>
      </c>
      <c r="F196" s="45">
        <f t="shared" si="266"/>
        <v>18200</v>
      </c>
      <c r="G196" s="45">
        <f>G197</f>
        <v>18200</v>
      </c>
      <c r="H196" s="45">
        <f>H197</f>
        <v>0</v>
      </c>
      <c r="I196" s="45">
        <f>I197</f>
        <v>0</v>
      </c>
      <c r="J196" s="45">
        <f t="shared" si="289"/>
        <v>11692.3</v>
      </c>
      <c r="K196" s="45">
        <f>K197</f>
        <v>11692.3</v>
      </c>
      <c r="L196" s="45">
        <f>L197</f>
        <v>0</v>
      </c>
      <c r="M196" s="45">
        <f>M197</f>
        <v>0</v>
      </c>
      <c r="N196" s="45">
        <f t="shared" si="290"/>
        <v>1500</v>
      </c>
      <c r="O196" s="45">
        <f>O197</f>
        <v>1500</v>
      </c>
      <c r="P196" s="45">
        <f>P197</f>
        <v>0</v>
      </c>
      <c r="Q196" s="45">
        <f>Q197</f>
        <v>0</v>
      </c>
      <c r="R196" s="45">
        <f t="shared" si="291"/>
        <v>1500</v>
      </c>
      <c r="S196" s="45">
        <f>S197</f>
        <v>1500</v>
      </c>
      <c r="T196" s="45">
        <f>T197</f>
        <v>0</v>
      </c>
      <c r="U196" s="45">
        <f>U197</f>
        <v>0</v>
      </c>
      <c r="V196" s="46">
        <f t="shared" si="265"/>
        <v>0.64200000000000002</v>
      </c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</row>
    <row r="197" spans="1:101" ht="58.5" customHeight="1">
      <c r="A197" s="11" t="s">
        <v>106</v>
      </c>
      <c r="B197" s="25" t="s">
        <v>328</v>
      </c>
      <c r="C197" s="37" t="s">
        <v>12</v>
      </c>
      <c r="D197" s="37" t="s">
        <v>12</v>
      </c>
      <c r="E197" s="37" t="s">
        <v>12</v>
      </c>
      <c r="F197" s="28">
        <f t="shared" si="266"/>
        <v>18200</v>
      </c>
      <c r="G197" s="28">
        <f>SUM(G199:G200)</f>
        <v>18200</v>
      </c>
      <c r="H197" s="28">
        <f>SUM(H199:H200)</f>
        <v>0</v>
      </c>
      <c r="I197" s="28">
        <f>SUM(I199:I200)</f>
        <v>0</v>
      </c>
      <c r="J197" s="28">
        <f t="shared" si="289"/>
        <v>11692.3</v>
      </c>
      <c r="K197" s="28">
        <f>SUM(K199:K200)</f>
        <v>11692.3</v>
      </c>
      <c r="L197" s="28">
        <f>SUM(L199:L200)</f>
        <v>0</v>
      </c>
      <c r="M197" s="28">
        <f>SUM(M199:M200)</f>
        <v>0</v>
      </c>
      <c r="N197" s="27">
        <f t="shared" si="290"/>
        <v>1500</v>
      </c>
      <c r="O197" s="28">
        <f>SUM(O199:O200)</f>
        <v>1500</v>
      </c>
      <c r="P197" s="28">
        <f>SUM(P199:P200)</f>
        <v>0</v>
      </c>
      <c r="Q197" s="28">
        <f>SUM(Q199:Q200)</f>
        <v>0</v>
      </c>
      <c r="R197" s="27">
        <f t="shared" si="291"/>
        <v>1500</v>
      </c>
      <c r="S197" s="28">
        <f>SUM(S199:S200)</f>
        <v>1500</v>
      </c>
      <c r="T197" s="28">
        <f>SUM(T199:T200)</f>
        <v>0</v>
      </c>
      <c r="U197" s="28">
        <f>SUM(U199:U200)</f>
        <v>0</v>
      </c>
      <c r="V197" s="38">
        <f t="shared" si="265"/>
        <v>0.64200000000000002</v>
      </c>
    </row>
    <row r="198" spans="1:101" ht="18.75">
      <c r="A198" s="39"/>
      <c r="B198" s="61" t="s">
        <v>15</v>
      </c>
      <c r="C198" s="32"/>
      <c r="D198" s="32"/>
      <c r="E198" s="32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38"/>
    </row>
    <row r="199" spans="1:101" ht="75" customHeight="1">
      <c r="A199" s="39"/>
      <c r="B199" s="41" t="s">
        <v>327</v>
      </c>
      <c r="C199" s="35">
        <v>840</v>
      </c>
      <c r="D199" s="36" t="s">
        <v>64</v>
      </c>
      <c r="E199" s="35" t="s">
        <v>111</v>
      </c>
      <c r="F199" s="28">
        <f t="shared" si="266"/>
        <v>15700</v>
      </c>
      <c r="G199" s="33">
        <v>15700</v>
      </c>
      <c r="H199" s="33"/>
      <c r="I199" s="33"/>
      <c r="J199" s="28">
        <f t="shared" ref="J199:J200" si="292">K199+L199+M199</f>
        <v>11692.3</v>
      </c>
      <c r="K199" s="33">
        <v>11692.3</v>
      </c>
      <c r="L199" s="33"/>
      <c r="M199" s="33"/>
      <c r="N199" s="28">
        <f t="shared" ref="N199:N200" si="293">O199+P199+Q199</f>
        <v>1500</v>
      </c>
      <c r="O199" s="33">
        <v>1500</v>
      </c>
      <c r="P199" s="33"/>
      <c r="Q199" s="33"/>
      <c r="R199" s="28">
        <f t="shared" ref="R199:R200" si="294">S199+T199+U199</f>
        <v>1500</v>
      </c>
      <c r="S199" s="33">
        <v>1500</v>
      </c>
      <c r="T199" s="33"/>
      <c r="U199" s="33"/>
      <c r="V199" s="63">
        <f t="shared" si="265"/>
        <v>0.745</v>
      </c>
    </row>
    <row r="200" spans="1:101" ht="74.25" customHeight="1">
      <c r="A200" s="39"/>
      <c r="B200" s="41" t="s">
        <v>365</v>
      </c>
      <c r="C200" s="35">
        <v>804</v>
      </c>
      <c r="D200" s="36" t="s">
        <v>65</v>
      </c>
      <c r="E200" s="35" t="s">
        <v>175</v>
      </c>
      <c r="F200" s="28">
        <f t="shared" si="266"/>
        <v>2500</v>
      </c>
      <c r="G200" s="33">
        <v>2500</v>
      </c>
      <c r="H200" s="33"/>
      <c r="I200" s="33"/>
      <c r="J200" s="28">
        <f t="shared" si="292"/>
        <v>0</v>
      </c>
      <c r="K200" s="33"/>
      <c r="L200" s="33"/>
      <c r="M200" s="33"/>
      <c r="N200" s="28">
        <f t="shared" si="293"/>
        <v>0</v>
      </c>
      <c r="O200" s="33"/>
      <c r="P200" s="33"/>
      <c r="Q200" s="33"/>
      <c r="R200" s="28">
        <f t="shared" si="294"/>
        <v>0</v>
      </c>
      <c r="S200" s="33"/>
      <c r="T200" s="33"/>
      <c r="U200" s="33"/>
      <c r="V200" s="63">
        <f t="shared" si="265"/>
        <v>0</v>
      </c>
    </row>
    <row r="201" spans="1:101" s="66" customFormat="1" ht="42.75" customHeight="1">
      <c r="A201" s="60">
        <v>11</v>
      </c>
      <c r="B201" s="60" t="s">
        <v>192</v>
      </c>
      <c r="C201" s="21" t="s">
        <v>12</v>
      </c>
      <c r="D201" s="21" t="s">
        <v>12</v>
      </c>
      <c r="E201" s="70" t="s">
        <v>12</v>
      </c>
      <c r="F201" s="45">
        <f t="shared" si="266"/>
        <v>4498.7</v>
      </c>
      <c r="G201" s="45">
        <f>G202</f>
        <v>135</v>
      </c>
      <c r="H201" s="45">
        <f>H202</f>
        <v>4363.7</v>
      </c>
      <c r="I201" s="45">
        <f>I202</f>
        <v>0</v>
      </c>
      <c r="J201" s="45">
        <f t="shared" ref="J201:J202" si="295">K201+L201+M201</f>
        <v>4498.7</v>
      </c>
      <c r="K201" s="45">
        <f>K202</f>
        <v>135</v>
      </c>
      <c r="L201" s="45">
        <f>L202</f>
        <v>4363.7</v>
      </c>
      <c r="M201" s="45">
        <f>M202</f>
        <v>0</v>
      </c>
      <c r="N201" s="45">
        <f t="shared" ref="N201:N202" si="296">O201+P201+Q201</f>
        <v>49763.6</v>
      </c>
      <c r="O201" s="45">
        <f>O202</f>
        <v>1492.9</v>
      </c>
      <c r="P201" s="45">
        <f>P202</f>
        <v>48270.7</v>
      </c>
      <c r="Q201" s="45">
        <f>Q202</f>
        <v>0</v>
      </c>
      <c r="R201" s="45">
        <f t="shared" ref="R201:R202" si="297">S201+T201+U201</f>
        <v>58502.1</v>
      </c>
      <c r="S201" s="45">
        <f>S202</f>
        <v>1755</v>
      </c>
      <c r="T201" s="45">
        <f>T202</f>
        <v>56747.1</v>
      </c>
      <c r="U201" s="45">
        <f>U202</f>
        <v>0</v>
      </c>
      <c r="V201" s="46">
        <f t="shared" si="265"/>
        <v>1</v>
      </c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</row>
    <row r="202" spans="1:101" s="8" customFormat="1" ht="39" customHeight="1">
      <c r="A202" s="24" t="s">
        <v>113</v>
      </c>
      <c r="B202" s="48" t="s">
        <v>114</v>
      </c>
      <c r="C202" s="26" t="s">
        <v>12</v>
      </c>
      <c r="D202" s="26" t="s">
        <v>12</v>
      </c>
      <c r="E202" s="26" t="s">
        <v>12</v>
      </c>
      <c r="F202" s="28">
        <f t="shared" si="266"/>
        <v>4498.7</v>
      </c>
      <c r="G202" s="28">
        <f t="shared" ref="G202:H202" si="298">SUM(G204:G205)</f>
        <v>135</v>
      </c>
      <c r="H202" s="28">
        <f t="shared" si="298"/>
        <v>4363.7</v>
      </c>
      <c r="I202" s="28">
        <f t="shared" ref="I202" si="299">SUM(I204:I205)</f>
        <v>0</v>
      </c>
      <c r="J202" s="28">
        <f t="shared" si="295"/>
        <v>4498.7</v>
      </c>
      <c r="K202" s="28">
        <f t="shared" ref="K202:M202" si="300">SUM(K204:K205)</f>
        <v>135</v>
      </c>
      <c r="L202" s="28">
        <f t="shared" si="300"/>
        <v>4363.7</v>
      </c>
      <c r="M202" s="28">
        <f t="shared" si="300"/>
        <v>0</v>
      </c>
      <c r="N202" s="28">
        <f t="shared" si="296"/>
        <v>49763.6</v>
      </c>
      <c r="O202" s="28">
        <f t="shared" ref="O202:T202" si="301">SUM(O204:O205)</f>
        <v>1492.9</v>
      </c>
      <c r="P202" s="28">
        <f t="shared" si="301"/>
        <v>48270.7</v>
      </c>
      <c r="Q202" s="28">
        <f t="shared" si="301"/>
        <v>0</v>
      </c>
      <c r="R202" s="28">
        <f t="shared" si="297"/>
        <v>58502.1</v>
      </c>
      <c r="S202" s="28">
        <f t="shared" si="301"/>
        <v>1755</v>
      </c>
      <c r="T202" s="28">
        <f t="shared" si="301"/>
        <v>56747.1</v>
      </c>
      <c r="U202" s="28">
        <f t="shared" ref="U202" si="302">SUM(U204:U205)</f>
        <v>0</v>
      </c>
      <c r="V202" s="38">
        <f t="shared" si="265"/>
        <v>1</v>
      </c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</row>
    <row r="203" spans="1:101" ht="18.75">
      <c r="A203" s="14"/>
      <c r="B203" s="65" t="s">
        <v>15</v>
      </c>
      <c r="C203" s="57"/>
      <c r="D203" s="57"/>
      <c r="E203" s="57"/>
      <c r="F203" s="28"/>
      <c r="G203" s="28"/>
      <c r="H203" s="28"/>
      <c r="I203" s="28"/>
      <c r="J203" s="28"/>
      <c r="K203" s="28"/>
      <c r="L203" s="28"/>
      <c r="M203" s="28"/>
      <c r="N203" s="27"/>
      <c r="O203" s="28"/>
      <c r="P203" s="28"/>
      <c r="Q203" s="28"/>
      <c r="R203" s="27"/>
      <c r="S203" s="28"/>
      <c r="T203" s="28"/>
      <c r="U203" s="28"/>
      <c r="V203" s="38"/>
    </row>
    <row r="204" spans="1:101" ht="49.5">
      <c r="A204" s="71"/>
      <c r="B204" s="41" t="s">
        <v>115</v>
      </c>
      <c r="C204" s="35">
        <v>818</v>
      </c>
      <c r="D204" s="36" t="s">
        <v>116</v>
      </c>
      <c r="E204" s="35" t="s">
        <v>117</v>
      </c>
      <c r="F204" s="28">
        <f t="shared" si="266"/>
        <v>4498.7</v>
      </c>
      <c r="G204" s="33">
        <v>135</v>
      </c>
      <c r="H204" s="33">
        <v>4363.7</v>
      </c>
      <c r="I204" s="33"/>
      <c r="J204" s="28">
        <f t="shared" ref="J204:J205" si="303">K204+L204+M204</f>
        <v>4498.7</v>
      </c>
      <c r="K204" s="33">
        <v>135</v>
      </c>
      <c r="L204" s="33">
        <v>4363.7</v>
      </c>
      <c r="M204" s="33"/>
      <c r="N204" s="27">
        <f t="shared" ref="N204:N205" si="304">O204+P204+Q204</f>
        <v>0</v>
      </c>
      <c r="O204" s="33">
        <v>0</v>
      </c>
      <c r="P204" s="33">
        <v>0</v>
      </c>
      <c r="Q204" s="33"/>
      <c r="R204" s="27">
        <f t="shared" ref="R204:R205" si="305">S204+T204+U204</f>
        <v>8593.5</v>
      </c>
      <c r="S204" s="33">
        <v>257.8</v>
      </c>
      <c r="T204" s="33">
        <v>8335.7000000000007</v>
      </c>
      <c r="U204" s="33"/>
      <c r="V204" s="63">
        <f t="shared" si="265"/>
        <v>1</v>
      </c>
    </row>
    <row r="205" spans="1:101" ht="54.75" customHeight="1">
      <c r="A205" s="71"/>
      <c r="B205" s="41" t="s">
        <v>221</v>
      </c>
      <c r="C205" s="35">
        <v>817</v>
      </c>
      <c r="D205" s="36" t="s">
        <v>102</v>
      </c>
      <c r="E205" s="35" t="s">
        <v>190</v>
      </c>
      <c r="F205" s="28">
        <f t="shared" si="266"/>
        <v>0</v>
      </c>
      <c r="G205" s="33">
        <f>1524.8-1524.8</f>
        <v>0</v>
      </c>
      <c r="H205" s="33">
        <f>49301.7-49301.7</f>
        <v>0</v>
      </c>
      <c r="I205" s="33"/>
      <c r="J205" s="28">
        <f t="shared" si="303"/>
        <v>0</v>
      </c>
      <c r="K205" s="33"/>
      <c r="L205" s="33"/>
      <c r="M205" s="33"/>
      <c r="N205" s="27">
        <f t="shared" si="304"/>
        <v>49763.6</v>
      </c>
      <c r="O205" s="33">
        <v>1492.9</v>
      </c>
      <c r="P205" s="33">
        <v>48270.7</v>
      </c>
      <c r="Q205" s="33"/>
      <c r="R205" s="27">
        <f t="shared" si="305"/>
        <v>49908.6</v>
      </c>
      <c r="S205" s="33">
        <v>1497.2</v>
      </c>
      <c r="T205" s="33">
        <v>48411.4</v>
      </c>
      <c r="U205" s="33"/>
      <c r="V205" s="63"/>
    </row>
    <row r="206" spans="1:101">
      <c r="B206" s="5" t="s">
        <v>329</v>
      </c>
    </row>
    <row r="207" spans="1:101" ht="16.5" customHeight="1">
      <c r="B207" s="5" t="s">
        <v>191</v>
      </c>
    </row>
    <row r="208" spans="1:101">
      <c r="B208" s="104" t="s">
        <v>367</v>
      </c>
      <c r="F208" s="3"/>
      <c r="G208" s="3"/>
      <c r="H208" s="3"/>
      <c r="J208" s="3"/>
      <c r="N208" s="3"/>
      <c r="O208" s="3"/>
      <c r="P208" s="3"/>
      <c r="R208" s="3"/>
      <c r="S208" s="3"/>
      <c r="T208" s="3"/>
      <c r="V208" s="3"/>
    </row>
    <row r="209" spans="2:22">
      <c r="B209" s="104" t="s">
        <v>368</v>
      </c>
      <c r="F209" s="3"/>
      <c r="G209" s="3"/>
      <c r="H209" s="3"/>
      <c r="J209" s="3"/>
      <c r="N209" s="3"/>
      <c r="O209" s="3"/>
      <c r="P209" s="3"/>
      <c r="R209" s="3"/>
      <c r="S209" s="3"/>
      <c r="T209" s="3"/>
      <c r="V209" s="3"/>
    </row>
    <row r="210" spans="2:22">
      <c r="B210" s="105" t="s">
        <v>374</v>
      </c>
      <c r="F210" s="3"/>
      <c r="G210" s="3"/>
      <c r="H210" s="3"/>
      <c r="J210" s="3"/>
      <c r="N210" s="3"/>
      <c r="O210" s="3"/>
      <c r="P210" s="3"/>
      <c r="R210" s="3"/>
      <c r="S210" s="3"/>
      <c r="T210" s="3"/>
      <c r="V210" s="3"/>
    </row>
    <row r="211" spans="2:22">
      <c r="F211" s="3"/>
      <c r="G211" s="3"/>
      <c r="H211" s="3"/>
      <c r="J211" s="3"/>
      <c r="N211" s="3"/>
      <c r="O211" s="3"/>
      <c r="P211" s="3"/>
      <c r="R211" s="3"/>
      <c r="S211" s="3"/>
      <c r="T211" s="3"/>
      <c r="V211" s="3"/>
    </row>
    <row r="212" spans="2:22">
      <c r="F212" s="3"/>
      <c r="G212" s="3"/>
      <c r="H212" s="3"/>
      <c r="J212" s="3"/>
      <c r="N212" s="3"/>
      <c r="O212" s="3"/>
      <c r="P212" s="3"/>
      <c r="R212" s="3"/>
      <c r="S212" s="3"/>
      <c r="T212" s="3"/>
      <c r="V212" s="3"/>
    </row>
    <row r="213" spans="2:22" ht="22.15" customHeight="1">
      <c r="F213" s="3"/>
      <c r="G213" s="3"/>
      <c r="H213" s="3"/>
      <c r="J213" s="3"/>
      <c r="N213" s="3"/>
      <c r="O213" s="3"/>
      <c r="P213" s="3"/>
      <c r="R213" s="3"/>
      <c r="S213" s="3"/>
      <c r="T213" s="3"/>
      <c r="V213" s="3"/>
    </row>
    <row r="214" spans="2:22" ht="22.15" customHeight="1">
      <c r="F214" s="3"/>
      <c r="G214" s="3"/>
      <c r="H214" s="3"/>
      <c r="J214" s="3"/>
      <c r="N214" s="3"/>
      <c r="O214" s="3"/>
      <c r="P214" s="3"/>
      <c r="R214" s="3"/>
      <c r="S214" s="3"/>
      <c r="T214" s="3"/>
      <c r="V214" s="3"/>
    </row>
    <row r="215" spans="2:22" ht="22.15" customHeight="1">
      <c r="F215" s="3"/>
      <c r="G215" s="3"/>
      <c r="H215" s="3"/>
      <c r="J215" s="3"/>
      <c r="N215" s="3"/>
      <c r="O215" s="3"/>
      <c r="P215" s="3"/>
      <c r="R215" s="3"/>
      <c r="S215" s="3"/>
      <c r="T215" s="3"/>
      <c r="V215" s="3"/>
    </row>
    <row r="216" spans="2:22" ht="22.15" customHeight="1">
      <c r="F216" s="3"/>
      <c r="G216" s="3"/>
      <c r="H216" s="3"/>
      <c r="J216" s="3"/>
      <c r="N216" s="3"/>
      <c r="O216" s="3"/>
      <c r="P216" s="3"/>
      <c r="R216" s="3"/>
      <c r="S216" s="3"/>
      <c r="T216" s="3"/>
      <c r="V216" s="3"/>
    </row>
    <row r="217" spans="2:22" ht="21" customHeight="1">
      <c r="F217" s="3"/>
      <c r="G217" s="3"/>
      <c r="H217" s="3"/>
      <c r="J217" s="3"/>
      <c r="N217" s="3"/>
      <c r="O217" s="3"/>
      <c r="P217" s="3"/>
      <c r="R217" s="3"/>
      <c r="S217" s="3"/>
      <c r="T217" s="3"/>
      <c r="V217" s="3"/>
    </row>
    <row r="218" spans="2:22" ht="21" customHeight="1">
      <c r="F218" s="3"/>
      <c r="G218" s="3"/>
      <c r="H218" s="3"/>
      <c r="J218" s="3"/>
      <c r="N218" s="3"/>
      <c r="O218" s="3"/>
      <c r="P218" s="3"/>
      <c r="R218" s="3"/>
      <c r="S218" s="3"/>
      <c r="T218" s="3"/>
      <c r="V218" s="3"/>
    </row>
    <row r="219" spans="2:22" ht="21" customHeight="1">
      <c r="F219" s="3"/>
      <c r="G219" s="3"/>
      <c r="H219" s="3"/>
      <c r="J219" s="3"/>
      <c r="N219" s="3"/>
      <c r="O219" s="3"/>
      <c r="P219" s="3"/>
      <c r="R219" s="3"/>
      <c r="S219" s="3"/>
      <c r="T219" s="3"/>
      <c r="V219" s="3"/>
    </row>
    <row r="220" spans="2:22" ht="21" customHeight="1">
      <c r="F220" s="3"/>
      <c r="G220" s="3"/>
      <c r="H220" s="3"/>
      <c r="J220" s="3"/>
      <c r="N220" s="3"/>
      <c r="O220" s="3"/>
      <c r="P220" s="3"/>
      <c r="R220" s="3"/>
      <c r="S220" s="3"/>
      <c r="T220" s="3"/>
      <c r="V220" s="3"/>
    </row>
    <row r="221" spans="2:22" ht="17.45" customHeight="1">
      <c r="F221" s="3"/>
      <c r="G221" s="3"/>
      <c r="H221" s="3"/>
      <c r="J221" s="3"/>
      <c r="N221" s="3"/>
      <c r="O221" s="3"/>
      <c r="P221" s="3"/>
      <c r="R221" s="3"/>
      <c r="S221" s="3"/>
      <c r="T221" s="3"/>
      <c r="V221" s="3"/>
    </row>
    <row r="222" spans="2:22" ht="16.149999999999999" customHeight="1">
      <c r="F222" s="3"/>
      <c r="G222" s="3"/>
      <c r="H222" s="3"/>
      <c r="J222" s="3"/>
      <c r="N222" s="3"/>
      <c r="O222" s="3"/>
      <c r="P222" s="3"/>
      <c r="R222" s="3"/>
      <c r="S222" s="3"/>
      <c r="T222" s="3"/>
      <c r="V222" s="3"/>
    </row>
    <row r="223" spans="2:22" ht="17.45" customHeight="1">
      <c r="F223" s="3"/>
      <c r="G223" s="3"/>
      <c r="H223" s="3"/>
      <c r="J223" s="3"/>
      <c r="N223" s="3"/>
      <c r="O223" s="3"/>
      <c r="P223" s="3"/>
      <c r="R223" s="3"/>
      <c r="S223" s="3"/>
      <c r="T223" s="3"/>
      <c r="V223" s="3"/>
    </row>
    <row r="224" spans="2:22" ht="20.45" customHeight="1">
      <c r="F224" s="3"/>
      <c r="G224" s="3"/>
      <c r="H224" s="3"/>
      <c r="J224" s="3"/>
      <c r="N224" s="3"/>
      <c r="O224" s="3"/>
      <c r="P224" s="3"/>
      <c r="R224" s="3"/>
      <c r="S224" s="3"/>
      <c r="T224" s="3"/>
      <c r="V224" s="3"/>
    </row>
    <row r="225" spans="6:22" ht="16.149999999999999" customHeight="1">
      <c r="F225" s="3"/>
      <c r="G225" s="3"/>
      <c r="H225" s="3"/>
      <c r="J225" s="3"/>
      <c r="N225" s="3"/>
      <c r="O225" s="3"/>
      <c r="P225" s="3"/>
      <c r="R225" s="3"/>
      <c r="S225" s="3"/>
      <c r="T225" s="3"/>
      <c r="V225" s="3"/>
    </row>
    <row r="226" spans="6:22" ht="17.45" customHeight="1">
      <c r="F226" s="3"/>
      <c r="G226" s="3"/>
      <c r="H226" s="3"/>
      <c r="J226" s="3"/>
      <c r="N226" s="3"/>
      <c r="O226" s="3"/>
      <c r="P226" s="3"/>
      <c r="R226" s="3"/>
      <c r="S226" s="3"/>
      <c r="T226" s="3"/>
      <c r="V226" s="3"/>
    </row>
    <row r="227" spans="6:22" ht="17.45" customHeight="1">
      <c r="F227" s="3"/>
      <c r="G227" s="3"/>
      <c r="H227" s="3"/>
      <c r="J227" s="3"/>
      <c r="N227" s="3"/>
      <c r="O227" s="3"/>
      <c r="P227" s="3"/>
      <c r="R227" s="3"/>
      <c r="S227" s="3"/>
      <c r="T227" s="3"/>
      <c r="V227" s="3"/>
    </row>
    <row r="228" spans="6:22">
      <c r="F228" s="3"/>
      <c r="G228" s="3"/>
      <c r="H228" s="3"/>
      <c r="J228" s="3"/>
      <c r="N228" s="3"/>
      <c r="O228" s="3"/>
      <c r="P228" s="3"/>
      <c r="R228" s="3"/>
      <c r="S228" s="3"/>
      <c r="T228" s="3"/>
      <c r="V228" s="3"/>
    </row>
    <row r="229" spans="6:22">
      <c r="F229" s="3"/>
      <c r="G229" s="3"/>
      <c r="H229" s="3"/>
      <c r="J229" s="3"/>
      <c r="N229" s="3"/>
      <c r="O229" s="3"/>
      <c r="P229" s="3"/>
      <c r="R229" s="3"/>
      <c r="S229" s="3"/>
      <c r="T229" s="3"/>
      <c r="V229" s="3"/>
    </row>
    <row r="230" spans="6:22">
      <c r="F230" s="3"/>
      <c r="G230" s="3"/>
      <c r="H230" s="3"/>
      <c r="J230" s="3"/>
      <c r="N230" s="3"/>
      <c r="O230" s="3"/>
      <c r="P230" s="3"/>
      <c r="R230" s="3"/>
      <c r="S230" s="3"/>
      <c r="T230" s="3"/>
      <c r="V230" s="3"/>
    </row>
    <row r="231" spans="6:22">
      <c r="F231" s="3"/>
      <c r="G231" s="3"/>
      <c r="H231" s="3"/>
      <c r="J231" s="3"/>
      <c r="N231" s="3"/>
      <c r="O231" s="3"/>
      <c r="P231" s="3"/>
      <c r="R231" s="3"/>
      <c r="S231" s="3"/>
      <c r="T231" s="3"/>
      <c r="V231" s="3"/>
    </row>
    <row r="232" spans="6:22">
      <c r="F232" s="3"/>
      <c r="G232" s="3"/>
      <c r="H232" s="3"/>
      <c r="J232" s="3"/>
      <c r="N232" s="3"/>
      <c r="O232" s="3"/>
      <c r="P232" s="3"/>
      <c r="R232" s="3"/>
      <c r="S232" s="3"/>
      <c r="T232" s="3"/>
      <c r="V232" s="3"/>
    </row>
    <row r="233" spans="6:22">
      <c r="F233" s="3"/>
      <c r="G233" s="3"/>
      <c r="H233" s="3"/>
      <c r="J233" s="3"/>
      <c r="N233" s="3"/>
      <c r="O233" s="3"/>
      <c r="P233" s="3"/>
      <c r="R233" s="3"/>
      <c r="S233" s="3"/>
      <c r="T233" s="3"/>
      <c r="V233" s="3"/>
    </row>
    <row r="234" spans="6:22">
      <c r="F234" s="3"/>
      <c r="G234" s="3"/>
      <c r="H234" s="3"/>
      <c r="J234" s="3"/>
      <c r="N234" s="3"/>
      <c r="O234" s="3"/>
      <c r="P234" s="3"/>
      <c r="R234" s="3"/>
      <c r="S234" s="3"/>
      <c r="T234" s="3"/>
      <c r="V234" s="3"/>
    </row>
    <row r="235" spans="6:22">
      <c r="F235" s="3"/>
      <c r="G235" s="3"/>
      <c r="H235" s="3"/>
      <c r="J235" s="3"/>
      <c r="N235" s="3"/>
      <c r="O235" s="3"/>
      <c r="P235" s="3"/>
      <c r="R235" s="3"/>
      <c r="S235" s="3"/>
      <c r="T235" s="3"/>
      <c r="V235" s="3"/>
    </row>
    <row r="236" spans="6:22">
      <c r="F236" s="3"/>
      <c r="G236" s="3"/>
      <c r="H236" s="3"/>
      <c r="J236" s="3"/>
      <c r="N236" s="3"/>
      <c r="O236" s="3"/>
      <c r="P236" s="3"/>
      <c r="R236" s="3"/>
      <c r="S236" s="3"/>
      <c r="T236" s="3"/>
      <c r="V236" s="3"/>
    </row>
    <row r="237" spans="6:22">
      <c r="F237" s="3"/>
      <c r="G237" s="3"/>
      <c r="H237" s="3"/>
      <c r="J237" s="3"/>
      <c r="N237" s="3"/>
      <c r="O237" s="3"/>
      <c r="P237" s="3"/>
      <c r="R237" s="3"/>
      <c r="S237" s="3"/>
      <c r="T237" s="3"/>
      <c r="V237" s="3"/>
    </row>
    <row r="238" spans="6:22">
      <c r="F238" s="3"/>
      <c r="G238" s="3"/>
      <c r="H238" s="3"/>
      <c r="J238" s="3"/>
      <c r="N238" s="3"/>
      <c r="O238" s="3"/>
      <c r="P238" s="3"/>
      <c r="R238" s="3"/>
      <c r="S238" s="3"/>
      <c r="T238" s="3"/>
      <c r="V238" s="3"/>
    </row>
    <row r="239" spans="6:22">
      <c r="F239" s="3"/>
      <c r="G239" s="3"/>
      <c r="H239" s="3"/>
      <c r="J239" s="3"/>
      <c r="N239" s="3"/>
      <c r="O239" s="3"/>
      <c r="P239" s="3"/>
      <c r="R239" s="3"/>
      <c r="S239" s="3"/>
      <c r="T239" s="3"/>
      <c r="V239" s="3"/>
    </row>
    <row r="240" spans="6:22">
      <c r="F240" s="3"/>
      <c r="G240" s="3"/>
      <c r="H240" s="3"/>
      <c r="J240" s="3"/>
      <c r="N240" s="3"/>
      <c r="O240" s="3"/>
      <c r="P240" s="3"/>
      <c r="R240" s="3"/>
      <c r="S240" s="3"/>
      <c r="T240" s="3"/>
      <c r="V240" s="3"/>
    </row>
    <row r="241" spans="6:22">
      <c r="F241" s="3"/>
      <c r="G241" s="3"/>
      <c r="H241" s="3"/>
      <c r="J241" s="3"/>
      <c r="N241" s="3"/>
      <c r="O241" s="3"/>
      <c r="P241" s="3"/>
      <c r="R241" s="3"/>
      <c r="S241" s="3"/>
      <c r="T241" s="3"/>
      <c r="V241" s="3"/>
    </row>
    <row r="242" spans="6:22">
      <c r="F242" s="3"/>
      <c r="G242" s="3"/>
      <c r="H242" s="3"/>
      <c r="J242" s="3"/>
      <c r="N242" s="3"/>
      <c r="O242" s="3"/>
      <c r="P242" s="3"/>
      <c r="R242" s="3"/>
      <c r="S242" s="3"/>
      <c r="T242" s="3"/>
      <c r="V242" s="3"/>
    </row>
    <row r="243" spans="6:22">
      <c r="F243" s="3"/>
      <c r="G243" s="3"/>
      <c r="H243" s="3"/>
      <c r="J243" s="3"/>
      <c r="N243" s="3"/>
      <c r="O243" s="3"/>
      <c r="P243" s="3"/>
      <c r="R243" s="3"/>
      <c r="S243" s="3"/>
      <c r="T243" s="3"/>
      <c r="V243" s="3"/>
    </row>
    <row r="244" spans="6:22">
      <c r="F244" s="3"/>
      <c r="G244" s="3"/>
      <c r="H244" s="3"/>
      <c r="J244" s="3"/>
      <c r="N244" s="3"/>
      <c r="O244" s="3"/>
      <c r="P244" s="3"/>
      <c r="R244" s="3"/>
      <c r="S244" s="3"/>
      <c r="T244" s="3"/>
      <c r="V244" s="3"/>
    </row>
    <row r="245" spans="6:22">
      <c r="F245" s="3"/>
      <c r="G245" s="3"/>
      <c r="H245" s="3"/>
      <c r="J245" s="3"/>
      <c r="N245" s="3"/>
      <c r="O245" s="3"/>
      <c r="P245" s="3"/>
      <c r="R245" s="3"/>
      <c r="S245" s="3"/>
      <c r="T245" s="3"/>
      <c r="V245" s="3"/>
    </row>
  </sheetData>
  <autoFilter ref="E12:E207"/>
  <customSheetViews>
    <customSheetView guid="{FE09AB06-1ECE-4486-BCA1-E9D85830708B}" scale="60" showPageBreaks="1" printArea="1" showAutoFilter="1">
      <pane xSplit="1" ySplit="7" topLeftCell="B8" activePane="bottomRight" state="frozen"/>
      <selection pane="bottomRight" activeCell="J15" sqref="J15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  <autoFilter ref="E12:E207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2"/>
      <autoFilter ref="A7:V205"/>
    </customSheetView>
    <customSheetView guid="{8DBC8541-9868-41A7-9A9F-A27FC80CBA37}" scale="78" showPageBreaks="1" printArea="1">
      <pane xSplit="1" ySplit="7" topLeftCell="B8" activePane="bottomRight" state="frozen"/>
      <selection pane="bottomRight" sqref="A1:XFD1048576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3"/>
    </customSheetView>
  </customSheetViews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4"/>
  <rowBreaks count="2" manualBreakCount="2">
    <brk id="95" max="37" man="1"/>
    <brk id="108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topLeftCell="A4" zoomScaleNormal="100" workbookViewId="0">
      <selection activeCell="C12" sqref="C12"/>
    </sheetView>
  </sheetViews>
  <sheetFormatPr defaultColWidth="9.140625" defaultRowHeight="15"/>
  <cols>
    <col min="1" max="1" width="6.42578125" style="4" customWidth="1"/>
    <col min="2" max="2" width="56.42578125" style="5" customWidth="1"/>
    <col min="3" max="3" width="17.5703125" style="4" customWidth="1"/>
    <col min="4" max="4" width="15.5703125" style="8" customWidth="1"/>
    <col min="5" max="5" width="10.28515625" style="4" customWidth="1"/>
    <col min="6" max="6" width="50" style="3" hidden="1" customWidth="1"/>
    <col min="7" max="7" width="9.140625" style="3" hidden="1" customWidth="1"/>
    <col min="8" max="8" width="8.85546875" style="3"/>
    <col min="9" max="9" width="6" style="3" customWidth="1"/>
    <col min="10" max="10" width="36.140625" style="84" customWidth="1"/>
    <col min="11" max="11" width="18.42578125" style="3" bestFit="1" customWidth="1"/>
    <col min="12" max="12" width="18.28515625" style="3" customWidth="1"/>
    <col min="13" max="13" width="9.140625" style="3" customWidth="1"/>
    <col min="14" max="14" width="18.42578125" style="3" bestFit="1" customWidth="1"/>
    <col min="15" max="15" width="9.7109375" style="3" bestFit="1" customWidth="1"/>
    <col min="16" max="16" width="9" style="3" bestFit="1" customWidth="1"/>
    <col min="17" max="88" width="9.140625" style="3"/>
    <col min="89" max="16384" width="9.140625" style="4"/>
  </cols>
  <sheetData>
    <row r="1" spans="1:88" ht="15" customHeight="1">
      <c r="A1" s="106" t="s">
        <v>239</v>
      </c>
      <c r="B1" s="106"/>
      <c r="C1" s="106"/>
      <c r="D1" s="106"/>
      <c r="E1" s="106"/>
    </row>
    <row r="2" spans="1:88" ht="37.5" customHeight="1">
      <c r="A2" s="106"/>
      <c r="B2" s="106"/>
      <c r="C2" s="106"/>
      <c r="D2" s="106"/>
      <c r="E2" s="106"/>
    </row>
    <row r="4" spans="1:88" ht="16.5" customHeight="1">
      <c r="A4" s="74" t="s">
        <v>0</v>
      </c>
      <c r="B4" s="75" t="s">
        <v>1</v>
      </c>
      <c r="C4" s="76" t="s">
        <v>194</v>
      </c>
      <c r="D4" s="76" t="s">
        <v>194</v>
      </c>
      <c r="E4" s="72" t="s">
        <v>234</v>
      </c>
      <c r="F4" s="73" t="s">
        <v>240</v>
      </c>
      <c r="G4" s="73" t="s">
        <v>241</v>
      </c>
      <c r="I4" s="127" t="s">
        <v>0</v>
      </c>
      <c r="J4" s="129" t="s">
        <v>1</v>
      </c>
      <c r="K4" s="131" t="s">
        <v>245</v>
      </c>
      <c r="L4" s="126" t="s">
        <v>246</v>
      </c>
      <c r="M4" s="126"/>
      <c r="N4" s="126" t="s">
        <v>248</v>
      </c>
      <c r="O4" s="126"/>
    </row>
    <row r="5" spans="1:88" ht="16.5" customHeight="1">
      <c r="A5" s="74"/>
      <c r="B5" s="81"/>
      <c r="C5" s="76"/>
      <c r="D5" s="76"/>
      <c r="E5" s="72"/>
      <c r="F5" s="73"/>
      <c r="G5" s="73"/>
      <c r="I5" s="128"/>
      <c r="J5" s="130"/>
      <c r="K5" s="132"/>
      <c r="L5" s="83" t="s">
        <v>247</v>
      </c>
      <c r="M5" s="83" t="s">
        <v>234</v>
      </c>
      <c r="N5" s="83" t="s">
        <v>247</v>
      </c>
      <c r="O5" s="83" t="s">
        <v>234</v>
      </c>
    </row>
    <row r="6" spans="1:88" ht="19.5">
      <c r="A6" s="14"/>
      <c r="B6" s="15" t="s">
        <v>10</v>
      </c>
      <c r="C6" s="16">
        <f>Лист1!F8/1000</f>
        <v>19302</v>
      </c>
      <c r="D6" s="16">
        <f>Лист1!J8/1000</f>
        <v>6691.2</v>
      </c>
      <c r="E6" s="17">
        <f>Лист1!V8</f>
        <v>0.34699999999999998</v>
      </c>
      <c r="F6" s="2"/>
      <c r="G6" s="2"/>
      <c r="I6" s="14"/>
      <c r="J6" s="65" t="s">
        <v>10</v>
      </c>
      <c r="K6" s="77">
        <f>C6</f>
        <v>19302</v>
      </c>
      <c r="L6" s="82">
        <f>D6</f>
        <v>6691.2</v>
      </c>
      <c r="M6" s="82">
        <f>L6/K6*100</f>
        <v>34.700000000000003</v>
      </c>
      <c r="N6" s="77">
        <v>5306.5</v>
      </c>
      <c r="O6" s="78">
        <f>N6/K6</f>
        <v>0.27500000000000002</v>
      </c>
      <c r="P6" s="18">
        <f>N6-L6</f>
        <v>-1384.7</v>
      </c>
    </row>
    <row r="7" spans="1:88" s="66" customFormat="1" ht="49.5">
      <c r="A7" s="19" t="s">
        <v>9</v>
      </c>
      <c r="B7" s="60" t="s">
        <v>86</v>
      </c>
      <c r="C7" s="45">
        <f>Лист1!F141/1000</f>
        <v>6677.4</v>
      </c>
      <c r="D7" s="45">
        <f>Лист1!J141/1000</f>
        <v>2586.6999999999998</v>
      </c>
      <c r="E7" s="46">
        <f>Лист1!V141/1000</f>
        <v>0</v>
      </c>
      <c r="F7" s="2"/>
      <c r="G7" s="2"/>
      <c r="H7" s="3"/>
      <c r="I7" s="14" t="s">
        <v>9</v>
      </c>
      <c r="J7" s="65" t="s">
        <v>86</v>
      </c>
      <c r="K7" s="77">
        <f t="shared" ref="K7:K17" si="0">C7</f>
        <v>6677.4</v>
      </c>
      <c r="L7" s="77">
        <f t="shared" ref="L7:L17" si="1">D7</f>
        <v>2586.6999999999998</v>
      </c>
      <c r="M7" s="82">
        <f t="shared" ref="M7:M17" si="2">L7/K7*100</f>
        <v>38.700000000000003</v>
      </c>
      <c r="N7" s="79">
        <v>1692.4</v>
      </c>
      <c r="O7" s="78">
        <f t="shared" ref="O7:O17" si="3">N7/K7</f>
        <v>0.253</v>
      </c>
      <c r="P7" s="18">
        <f t="shared" ref="P7:P17" si="4">N7-L7</f>
        <v>-894.3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</row>
    <row r="8" spans="1:88" ht="33">
      <c r="A8" s="19" t="s">
        <v>32</v>
      </c>
      <c r="B8" s="20" t="s">
        <v>11</v>
      </c>
      <c r="C8" s="22">
        <f>Лист1!F9/1000</f>
        <v>2713.4</v>
      </c>
      <c r="D8" s="22">
        <f>Лист1!J9/1000</f>
        <v>1684.7</v>
      </c>
      <c r="E8" s="23">
        <f>Лист1!V9/1000</f>
        <v>1E-3</v>
      </c>
      <c r="F8" s="2"/>
      <c r="G8" s="2"/>
      <c r="I8" s="14" t="s">
        <v>32</v>
      </c>
      <c r="J8" s="65" t="s">
        <v>11</v>
      </c>
      <c r="K8" s="77">
        <f t="shared" si="0"/>
        <v>2713.4</v>
      </c>
      <c r="L8" s="77">
        <f t="shared" si="1"/>
        <v>1684.7</v>
      </c>
      <c r="M8" s="82">
        <f t="shared" si="2"/>
        <v>62.1</v>
      </c>
      <c r="N8" s="80">
        <v>2032.2</v>
      </c>
      <c r="O8" s="78">
        <f t="shared" si="3"/>
        <v>0.749</v>
      </c>
      <c r="P8" s="18">
        <f t="shared" si="4"/>
        <v>347.5</v>
      </c>
    </row>
    <row r="9" spans="1:88" ht="33">
      <c r="A9" s="21">
        <v>3</v>
      </c>
      <c r="B9" s="43" t="s">
        <v>33</v>
      </c>
      <c r="C9" s="45">
        <f>Лист1!F36/1000</f>
        <v>3713</v>
      </c>
      <c r="D9" s="45">
        <f>Лист1!J36/1000</f>
        <v>1094</v>
      </c>
      <c r="E9" s="46">
        <f>Лист1!V36/1000</f>
        <v>0</v>
      </c>
      <c r="F9" s="2"/>
      <c r="G9" s="2"/>
      <c r="I9" s="14">
        <v>3</v>
      </c>
      <c r="J9" s="85" t="s">
        <v>33</v>
      </c>
      <c r="K9" s="77">
        <f t="shared" si="0"/>
        <v>3713</v>
      </c>
      <c r="L9" s="77">
        <f t="shared" si="1"/>
        <v>1094</v>
      </c>
      <c r="M9" s="82">
        <f t="shared" si="2"/>
        <v>29.5</v>
      </c>
      <c r="N9" s="79">
        <v>350.4</v>
      </c>
      <c r="O9" s="78">
        <f t="shared" si="3"/>
        <v>9.4E-2</v>
      </c>
      <c r="P9" s="18">
        <f t="shared" si="4"/>
        <v>-743.6</v>
      </c>
    </row>
    <row r="10" spans="1:88" s="66" customFormat="1" ht="33">
      <c r="A10" s="19" t="s">
        <v>60</v>
      </c>
      <c r="B10" s="60" t="s">
        <v>68</v>
      </c>
      <c r="C10" s="45">
        <f>Лист1!F113/1000</f>
        <v>3866.4</v>
      </c>
      <c r="D10" s="45">
        <f>Лист1!J113/1000</f>
        <v>576</v>
      </c>
      <c r="E10" s="46">
        <f>Лист1!V113/1000</f>
        <v>0</v>
      </c>
      <c r="F10" s="2"/>
      <c r="G10" s="2"/>
      <c r="H10" s="3"/>
      <c r="I10" s="14" t="s">
        <v>67</v>
      </c>
      <c r="J10" s="65" t="s">
        <v>68</v>
      </c>
      <c r="K10" s="77">
        <f t="shared" si="0"/>
        <v>3866.4</v>
      </c>
      <c r="L10" s="77">
        <f t="shared" si="1"/>
        <v>576</v>
      </c>
      <c r="M10" s="82">
        <f t="shared" si="2"/>
        <v>14.9</v>
      </c>
      <c r="N10" s="79">
        <v>548.5</v>
      </c>
      <c r="O10" s="78">
        <f t="shared" si="3"/>
        <v>0.14199999999999999</v>
      </c>
      <c r="P10" s="18">
        <f t="shared" si="4"/>
        <v>-27.5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</row>
    <row r="11" spans="1:88" ht="33">
      <c r="A11" s="19" t="s">
        <v>67</v>
      </c>
      <c r="B11" s="20" t="s">
        <v>45</v>
      </c>
      <c r="C11" s="45">
        <f>Лист1!F66/1000</f>
        <v>1820.3</v>
      </c>
      <c r="D11" s="45">
        <f>Лист1!J66/1000</f>
        <v>525.4</v>
      </c>
      <c r="E11" s="46">
        <f>Лист1!V66/1000</f>
        <v>0</v>
      </c>
      <c r="F11" s="30"/>
      <c r="G11" s="2"/>
      <c r="I11" s="14" t="s">
        <v>60</v>
      </c>
      <c r="J11" s="65" t="s">
        <v>45</v>
      </c>
      <c r="K11" s="77">
        <f t="shared" si="0"/>
        <v>1820.3</v>
      </c>
      <c r="L11" s="77">
        <f t="shared" si="1"/>
        <v>525.4</v>
      </c>
      <c r="M11" s="82">
        <f t="shared" si="2"/>
        <v>28.9</v>
      </c>
      <c r="N11" s="79">
        <v>355</v>
      </c>
      <c r="O11" s="78">
        <f t="shared" si="3"/>
        <v>0.19500000000000001</v>
      </c>
      <c r="P11" s="18">
        <f t="shared" si="4"/>
        <v>-170.4</v>
      </c>
    </row>
    <row r="12" spans="1:88" s="66" customFormat="1" ht="33">
      <c r="A12" s="19" t="s">
        <v>73</v>
      </c>
      <c r="B12" s="20" t="s">
        <v>74</v>
      </c>
      <c r="C12" s="45">
        <f>Лист1!F129/1000</f>
        <v>107.1</v>
      </c>
      <c r="D12" s="45">
        <f>Лист1!J129/1000</f>
        <v>15</v>
      </c>
      <c r="E12" s="46">
        <f>Лист1!V129/1000</f>
        <v>0</v>
      </c>
      <c r="F12" s="2"/>
      <c r="G12" s="2"/>
      <c r="H12" s="3"/>
      <c r="I12" s="14" t="s">
        <v>73</v>
      </c>
      <c r="J12" s="65" t="s">
        <v>74</v>
      </c>
      <c r="K12" s="77">
        <f t="shared" si="0"/>
        <v>107.1</v>
      </c>
      <c r="L12" s="77">
        <f t="shared" si="1"/>
        <v>15</v>
      </c>
      <c r="M12" s="82">
        <f t="shared" si="2"/>
        <v>14</v>
      </c>
      <c r="N12" s="79">
        <v>120.2</v>
      </c>
      <c r="O12" s="78">
        <f t="shared" si="3"/>
        <v>1.1220000000000001</v>
      </c>
      <c r="P12" s="18">
        <f t="shared" si="4"/>
        <v>105.2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</row>
    <row r="13" spans="1:88" s="66" customFormat="1" ht="82.5">
      <c r="A13" s="19" t="s">
        <v>85</v>
      </c>
      <c r="B13" s="60" t="s">
        <v>98</v>
      </c>
      <c r="C13" s="45">
        <f>Лист1!F178/1000</f>
        <v>197.3</v>
      </c>
      <c r="D13" s="45">
        <f>Лист1!J178/1000</f>
        <v>123.7</v>
      </c>
      <c r="E13" s="46">
        <f>Лист1!V178/1000</f>
        <v>1E-3</v>
      </c>
      <c r="F13" s="2"/>
      <c r="G13" s="2"/>
      <c r="H13" s="3"/>
      <c r="I13" s="14" t="s">
        <v>85</v>
      </c>
      <c r="J13" s="65" t="s">
        <v>98</v>
      </c>
      <c r="K13" s="77">
        <f t="shared" si="0"/>
        <v>197.3</v>
      </c>
      <c r="L13" s="77">
        <f t="shared" si="1"/>
        <v>123.7</v>
      </c>
      <c r="M13" s="82">
        <f t="shared" si="2"/>
        <v>62.7</v>
      </c>
      <c r="N13" s="79">
        <v>145.1</v>
      </c>
      <c r="O13" s="78">
        <f t="shared" si="3"/>
        <v>0.73499999999999999</v>
      </c>
      <c r="P13" s="18">
        <f t="shared" si="4"/>
        <v>21.4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</row>
    <row r="14" spans="1:88" s="66" customFormat="1" ht="33">
      <c r="A14" s="19" t="s">
        <v>89</v>
      </c>
      <c r="B14" s="20" t="s">
        <v>90</v>
      </c>
      <c r="C14" s="45">
        <f>Лист1!F158/1000</f>
        <v>174.8</v>
      </c>
      <c r="D14" s="45">
        <f>Лист1!J158/1000</f>
        <v>63.4</v>
      </c>
      <c r="E14" s="46">
        <f>Лист1!V158/1000</f>
        <v>0</v>
      </c>
      <c r="F14" s="2"/>
      <c r="G14" s="2"/>
      <c r="H14" s="3"/>
      <c r="I14" s="14" t="s">
        <v>89</v>
      </c>
      <c r="J14" s="65" t="s">
        <v>90</v>
      </c>
      <c r="K14" s="77">
        <f t="shared" si="0"/>
        <v>174.8</v>
      </c>
      <c r="L14" s="77">
        <f t="shared" si="1"/>
        <v>63.4</v>
      </c>
      <c r="M14" s="82">
        <f t="shared" si="2"/>
        <v>36.299999999999997</v>
      </c>
      <c r="N14" s="79">
        <v>46</v>
      </c>
      <c r="O14" s="78">
        <f t="shared" si="3"/>
        <v>0.26300000000000001</v>
      </c>
      <c r="P14" s="18">
        <f t="shared" si="4"/>
        <v>-17.399999999999999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</row>
    <row r="15" spans="1:88" ht="33">
      <c r="A15" s="19" t="s">
        <v>97</v>
      </c>
      <c r="B15" s="60" t="s">
        <v>61</v>
      </c>
      <c r="C15" s="45">
        <f>Лист1!F104/1000</f>
        <v>9.5</v>
      </c>
      <c r="D15" s="45">
        <f>Лист1!J104/1000</f>
        <v>6</v>
      </c>
      <c r="E15" s="46">
        <f>Лист1!V104/1000</f>
        <v>1E-3</v>
      </c>
      <c r="F15" s="2"/>
      <c r="G15" s="2"/>
      <c r="I15" s="14" t="s">
        <v>97</v>
      </c>
      <c r="J15" s="65" t="s">
        <v>61</v>
      </c>
      <c r="K15" s="77">
        <f t="shared" si="0"/>
        <v>9.5</v>
      </c>
      <c r="L15" s="77">
        <f t="shared" si="1"/>
        <v>6</v>
      </c>
      <c r="M15" s="82">
        <f t="shared" si="2"/>
        <v>63.2</v>
      </c>
      <c r="N15" s="79">
        <v>4.3</v>
      </c>
      <c r="O15" s="78">
        <f t="shared" si="3"/>
        <v>0.45300000000000001</v>
      </c>
      <c r="P15" s="18">
        <f t="shared" si="4"/>
        <v>-1.7</v>
      </c>
    </row>
    <row r="16" spans="1:88" s="66" customFormat="1" ht="49.5">
      <c r="A16" s="60">
        <v>10</v>
      </c>
      <c r="B16" s="60" t="s">
        <v>192</v>
      </c>
      <c r="C16" s="45">
        <f>Лист1!F201/1000</f>
        <v>4.5</v>
      </c>
      <c r="D16" s="45">
        <f>Лист1!J201/1000</f>
        <v>4.5</v>
      </c>
      <c r="E16" s="46">
        <f>Лист1!V201/1000</f>
        <v>1E-3</v>
      </c>
      <c r="F16" s="2"/>
      <c r="G16" s="2"/>
      <c r="H16" s="3"/>
      <c r="I16" s="14">
        <v>10</v>
      </c>
      <c r="J16" s="65" t="s">
        <v>192</v>
      </c>
      <c r="K16" s="77">
        <f t="shared" si="0"/>
        <v>4.5</v>
      </c>
      <c r="L16" s="77">
        <f t="shared" si="1"/>
        <v>4.5</v>
      </c>
      <c r="M16" s="82">
        <f t="shared" si="2"/>
        <v>100</v>
      </c>
      <c r="N16" s="79">
        <v>0</v>
      </c>
      <c r="O16" s="78">
        <f t="shared" si="3"/>
        <v>0</v>
      </c>
      <c r="P16" s="18">
        <f t="shared" si="4"/>
        <v>-4.5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</row>
    <row r="17" spans="1:88" s="66" customFormat="1" ht="49.5">
      <c r="A17" s="19" t="s">
        <v>244</v>
      </c>
      <c r="B17" s="60" t="s">
        <v>105</v>
      </c>
      <c r="C17" s="45">
        <f>Лист1!F196/1000</f>
        <v>18.2</v>
      </c>
      <c r="D17" s="45">
        <f>Лист1!J196/1000</f>
        <v>11.7</v>
      </c>
      <c r="E17" s="46">
        <f>Лист1!V196/1000</f>
        <v>1E-3</v>
      </c>
      <c r="F17" s="2"/>
      <c r="G17" s="2"/>
      <c r="H17" s="3"/>
      <c r="I17" s="14" t="s">
        <v>244</v>
      </c>
      <c r="J17" s="65" t="s">
        <v>105</v>
      </c>
      <c r="K17" s="77">
        <f t="shared" si="0"/>
        <v>18.2</v>
      </c>
      <c r="L17" s="77">
        <f t="shared" si="1"/>
        <v>11.7</v>
      </c>
      <c r="M17" s="82">
        <f t="shared" si="2"/>
        <v>64.3</v>
      </c>
      <c r="N17" s="79">
        <v>12.4</v>
      </c>
      <c r="O17" s="78">
        <f t="shared" si="3"/>
        <v>0.68100000000000005</v>
      </c>
      <c r="P17" s="18">
        <f t="shared" si="4"/>
        <v>0.7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</row>
    <row r="18" spans="1:88" ht="22.15" customHeight="1">
      <c r="C18" s="3"/>
      <c r="D18" s="3"/>
      <c r="E18" s="3"/>
      <c r="I18" s="4"/>
      <c r="J18" s="86"/>
      <c r="K18" s="4"/>
      <c r="L18" s="4"/>
      <c r="M18" s="4"/>
      <c r="N18" s="4"/>
      <c r="O18" s="4"/>
    </row>
    <row r="19" spans="1:88" ht="22.15" customHeight="1">
      <c r="C19" s="3"/>
      <c r="D19" s="3">
        <v>4395</v>
      </c>
      <c r="E19" s="3"/>
      <c r="K19" s="3">
        <f>N19-D19</f>
        <v>672.3</v>
      </c>
      <c r="N19" s="3">
        <v>5067.3</v>
      </c>
    </row>
    <row r="20" spans="1:88" ht="22.15" customHeight="1">
      <c r="C20" s="3"/>
      <c r="D20" s="3"/>
      <c r="E20" s="3"/>
    </row>
    <row r="21" spans="1:88" ht="21" customHeight="1">
      <c r="C21" s="3"/>
      <c r="D21" s="3"/>
      <c r="E21" s="3"/>
    </row>
    <row r="22" spans="1:88" ht="21" customHeight="1">
      <c r="C22" s="3"/>
      <c r="D22" s="3"/>
      <c r="E22" s="3"/>
    </row>
    <row r="23" spans="1:88" ht="21" customHeight="1">
      <c r="C23" s="3"/>
      <c r="D23" s="3"/>
      <c r="E23" s="3"/>
    </row>
    <row r="24" spans="1:88" ht="21" customHeight="1">
      <c r="C24" s="3"/>
      <c r="D24" s="3"/>
      <c r="E24" s="3"/>
    </row>
    <row r="25" spans="1:88" ht="17.45" customHeight="1">
      <c r="C25" s="3"/>
      <c r="D25" s="3"/>
      <c r="E25" s="3"/>
    </row>
    <row r="26" spans="1:88" ht="16.149999999999999" customHeight="1">
      <c r="C26" s="3"/>
      <c r="D26" s="3"/>
      <c r="E26" s="3"/>
    </row>
    <row r="27" spans="1:88" ht="17.45" customHeight="1">
      <c r="C27" s="3"/>
      <c r="D27" s="3"/>
      <c r="E27" s="3"/>
    </row>
    <row r="28" spans="1:88" ht="20.45" customHeight="1">
      <c r="C28" s="3"/>
      <c r="D28" s="3"/>
      <c r="E28" s="3"/>
    </row>
    <row r="29" spans="1:88" ht="16.149999999999999" customHeight="1">
      <c r="C29" s="3"/>
      <c r="D29" s="3"/>
      <c r="E29" s="3"/>
    </row>
    <row r="30" spans="1:88" ht="17.45" customHeight="1">
      <c r="C30" s="3"/>
      <c r="D30" s="3"/>
      <c r="E30" s="3"/>
    </row>
    <row r="31" spans="1:88" ht="17.45" customHeight="1">
      <c r="C31" s="3"/>
      <c r="D31" s="3"/>
      <c r="E31" s="3"/>
    </row>
    <row r="32" spans="1:88">
      <c r="C32" s="3"/>
      <c r="D32" s="3"/>
      <c r="E32" s="3"/>
    </row>
    <row r="33" spans="3:5">
      <c r="C33" s="3"/>
      <c r="D33" s="3"/>
      <c r="E33" s="3"/>
    </row>
    <row r="34" spans="3:5">
      <c r="C34" s="3"/>
      <c r="D34" s="3"/>
      <c r="E34" s="3"/>
    </row>
    <row r="35" spans="3:5">
      <c r="C35" s="3"/>
      <c r="D35" s="3"/>
      <c r="E35" s="3"/>
    </row>
    <row r="36" spans="3:5">
      <c r="C36" s="3"/>
      <c r="D36" s="3"/>
      <c r="E36" s="3"/>
    </row>
    <row r="37" spans="3:5">
      <c r="C37" s="3"/>
      <c r="D37" s="3"/>
      <c r="E37" s="3"/>
    </row>
    <row r="38" spans="3:5">
      <c r="C38" s="3"/>
      <c r="D38" s="3"/>
      <c r="E38" s="3"/>
    </row>
    <row r="39" spans="3:5">
      <c r="C39" s="3"/>
      <c r="D39" s="3"/>
      <c r="E39" s="3"/>
    </row>
    <row r="40" spans="3:5">
      <c r="C40" s="3"/>
      <c r="D40" s="3"/>
      <c r="E40" s="3"/>
    </row>
    <row r="41" spans="3:5">
      <c r="C41" s="3"/>
      <c r="D41" s="3"/>
      <c r="E41" s="3"/>
    </row>
    <row r="42" spans="3:5">
      <c r="C42" s="3"/>
      <c r="D42" s="3"/>
      <c r="E42" s="3"/>
    </row>
    <row r="43" spans="3:5">
      <c r="C43" s="3"/>
      <c r="D43" s="3"/>
      <c r="E43" s="3"/>
    </row>
    <row r="44" spans="3:5">
      <c r="C44" s="3"/>
      <c r="D44" s="3"/>
      <c r="E44" s="3"/>
    </row>
    <row r="45" spans="3:5">
      <c r="C45" s="3"/>
      <c r="D45" s="3"/>
      <c r="E45" s="3"/>
    </row>
    <row r="46" spans="3:5">
      <c r="C46" s="3"/>
      <c r="D46" s="3"/>
      <c r="E46" s="3"/>
    </row>
    <row r="47" spans="3:5">
      <c r="C47" s="3"/>
      <c r="D47" s="3"/>
      <c r="E47" s="3"/>
    </row>
    <row r="48" spans="3:5">
      <c r="C48" s="3"/>
      <c r="D48" s="3"/>
      <c r="E48" s="3"/>
    </row>
    <row r="49" spans="3:5">
      <c r="C49" s="3"/>
      <c r="D49" s="3"/>
      <c r="E49" s="3"/>
    </row>
  </sheetData>
  <customSheetViews>
    <customSheetView guid="{FE09AB06-1ECE-4486-BCA1-E9D85830708B}" showPageBreaks="1" printArea="1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1"/>
    </customSheetView>
    <customSheetView guid="{CFE875CB-1045-45F7-825E-02100661E885}" hiddenColumns="1" topLeftCell="A4">
      <selection activeCell="C12" sqref="C12"/>
      <colBreaks count="1" manualBreakCount="1">
        <brk id="8" max="18" man="1"/>
      </colBreaks>
      <pageMargins left="0.7" right="0.7" top="0.75" bottom="0.75" header="0.3" footer="0.3"/>
      <pageSetup paperSize="9" scale="70" orientation="portrait" r:id="rId2"/>
    </customSheetView>
  </customSheetViews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3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2021-11-09T02:14:22Z</cp:lastPrinted>
  <dcterms:created xsi:type="dcterms:W3CDTF">2006-09-28T05:33:49Z</dcterms:created>
  <dcterms:modified xsi:type="dcterms:W3CDTF">2022-09-05T09:49:11Z</dcterms:modified>
</cp:coreProperties>
</file>