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50" yWindow="60" windowWidth="16935" windowHeight="12555"/>
  </bookViews>
  <sheets>
    <sheet name="Лист1" sheetId="1" r:id="rId1"/>
    <sheet name="Лист2" sheetId="2" r:id="rId2"/>
  </sheets>
  <definedNames>
    <definedName name="_xlnm._FilterDatabase" localSheetId="0" hidden="1">Лист1!$E$12:$E$205</definedName>
    <definedName name="Z_8DBC8541_9868_41A7_9A9F_A27FC80CBA37_.wvu.FilterData" localSheetId="0" hidden="1">Лист1!$E$12:$E$205</definedName>
    <definedName name="Z_8DBC8541_9868_41A7_9A9F_A27FC80CBA37_.wvu.PrintArea" localSheetId="0" hidden="1">Лист1!$A$1:$V$205</definedName>
    <definedName name="Z_8DBC8541_9868_41A7_9A9F_A27FC80CBA37_.wvu.PrintTitles" localSheetId="0" hidden="1">Лист1!$4:$7</definedName>
    <definedName name="Z_CFE875CB_1045_45F7_825E_02100661E885_.wvu.Cols" localSheetId="1" hidden="1">Лист2!$F:$G</definedName>
    <definedName name="Z_CFE875CB_1045_45F7_825E_02100661E885_.wvu.FilterData" localSheetId="0" hidden="1">Лист1!$A$7:$V$205</definedName>
    <definedName name="Z_CFE875CB_1045_45F7_825E_02100661E885_.wvu.PrintArea" localSheetId="0" hidden="1">Лист1!$A$1:$V$205</definedName>
    <definedName name="Z_CFE875CB_1045_45F7_825E_02100661E885_.wvu.PrintArea" localSheetId="1" hidden="1">Лист2!$A$1:$O$19</definedName>
    <definedName name="Z_CFE875CB_1045_45F7_825E_02100661E885_.wvu.PrintTitles" localSheetId="0" hidden="1">Лист1!$4:$7</definedName>
    <definedName name="Z_FE09AB06_1ECE_4486_BCA1_E9D85830708B_.wvu.Cols" localSheetId="1" hidden="1">Лист2!$F:$G</definedName>
    <definedName name="Z_FE09AB06_1ECE_4486_BCA1_E9D85830708B_.wvu.FilterData" localSheetId="0" hidden="1">Лист1!$E$12:$E$205</definedName>
    <definedName name="Z_FE09AB06_1ECE_4486_BCA1_E9D85830708B_.wvu.PrintArea" localSheetId="0" hidden="1">Лист1!$A$1:$V$205</definedName>
    <definedName name="Z_FE09AB06_1ECE_4486_BCA1_E9D85830708B_.wvu.PrintArea" localSheetId="1" hidden="1">Лист2!$A$1:$O$19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Лист1!$A$1:$V$205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sgl - Личное представление" guid="{CFE875CB-1045-45F7-825E-02100661E885}" mergeInterval="0" personalView="1" maximized="1" xWindow="1" yWindow="1" windowWidth="1916" windowHeight="777" activeSheetId="1"/>
  </customWorkbookViews>
</workbook>
</file>

<file path=xl/calcChain.xml><?xml version="1.0" encoding="utf-8"?>
<calcChain xmlns="http://schemas.openxmlformats.org/spreadsheetml/2006/main">
  <c r="J100" i="1"/>
  <c r="I140"/>
  <c r="M140"/>
  <c r="L64" l="1"/>
  <c r="L99"/>
  <c r="L93"/>
  <c r="K99" l="1"/>
  <c r="K64"/>
  <c r="K111"/>
  <c r="K93"/>
  <c r="K18"/>
  <c r="H59" l="1"/>
  <c r="T120"/>
  <c r="P120"/>
  <c r="H120"/>
  <c r="T64"/>
  <c r="P64"/>
  <c r="H64"/>
  <c r="H60"/>
  <c r="P58"/>
  <c r="T57"/>
  <c r="P57"/>
  <c r="O57"/>
  <c r="H57"/>
  <c r="G59"/>
  <c r="O64"/>
  <c r="G108"/>
  <c r="O146"/>
  <c r="K157"/>
  <c r="O157"/>
  <c r="M157"/>
  <c r="P157"/>
  <c r="Q157"/>
  <c r="T157"/>
  <c r="U157"/>
  <c r="S157"/>
  <c r="L157"/>
  <c r="H157"/>
  <c r="I157"/>
  <c r="G157"/>
  <c r="R167"/>
  <c r="N167"/>
  <c r="J167"/>
  <c r="V167" s="1"/>
  <c r="F167"/>
  <c r="R165"/>
  <c r="N165"/>
  <c r="J165"/>
  <c r="V165" s="1"/>
  <c r="F165"/>
  <c r="R102" l="1"/>
  <c r="R100"/>
  <c r="N102"/>
  <c r="N100"/>
  <c r="K100"/>
  <c r="L100"/>
  <c r="M100"/>
  <c r="I100"/>
  <c r="H100"/>
  <c r="G100"/>
  <c r="F102"/>
  <c r="F100" s="1"/>
  <c r="R79" l="1"/>
  <c r="N79"/>
  <c r="F79"/>
  <c r="S64"/>
  <c r="G64"/>
  <c r="G60"/>
  <c r="G57"/>
  <c r="V79" l="1"/>
  <c r="O58"/>
  <c r="S57"/>
  <c r="R50" l="1"/>
  <c r="N50"/>
  <c r="J50"/>
  <c r="F50"/>
  <c r="R143"/>
  <c r="N143"/>
  <c r="J143"/>
  <c r="F143"/>
  <c r="O68"/>
  <c r="V50" l="1"/>
  <c r="V143"/>
  <c r="G48"/>
  <c r="R49"/>
  <c r="N49"/>
  <c r="J49"/>
  <c r="F49"/>
  <c r="V49" l="1"/>
  <c r="G44"/>
  <c r="K122"/>
  <c r="K19"/>
  <c r="H44" l="1"/>
  <c r="H203"/>
  <c r="G121" l="1"/>
  <c r="G14"/>
  <c r="G13"/>
  <c r="G12"/>
  <c r="F28"/>
  <c r="J28"/>
  <c r="N28"/>
  <c r="R28"/>
  <c r="F29"/>
  <c r="J29"/>
  <c r="N29"/>
  <c r="R29"/>
  <c r="F70"/>
  <c r="J70"/>
  <c r="N70"/>
  <c r="R70"/>
  <c r="T45"/>
  <c r="U45"/>
  <c r="S45"/>
  <c r="P45"/>
  <c r="Q45"/>
  <c r="O45"/>
  <c r="L45"/>
  <c r="M45"/>
  <c r="K45"/>
  <c r="H45"/>
  <c r="I45"/>
  <c r="G45"/>
  <c r="F51"/>
  <c r="J51"/>
  <c r="N51"/>
  <c r="R51"/>
  <c r="G203"/>
  <c r="G149"/>
  <c r="O149"/>
  <c r="H61"/>
  <c r="P184"/>
  <c r="O184"/>
  <c r="L184"/>
  <c r="M184"/>
  <c r="K184"/>
  <c r="H63"/>
  <c r="G145"/>
  <c r="S144"/>
  <c r="O144"/>
  <c r="G144"/>
  <c r="G94"/>
  <c r="K94"/>
  <c r="G78"/>
  <c r="G69"/>
  <c r="G19"/>
  <c r="F62"/>
  <c r="J62"/>
  <c r="N62"/>
  <c r="R62"/>
  <c r="G61"/>
  <c r="O60"/>
  <c r="F48"/>
  <c r="J48"/>
  <c r="N48"/>
  <c r="R48"/>
  <c r="V70" l="1"/>
  <c r="V29"/>
  <c r="V48"/>
  <c r="V51"/>
  <c r="V28"/>
  <c r="V62"/>
  <c r="F64"/>
  <c r="F75"/>
  <c r="J75"/>
  <c r="N75"/>
  <c r="R75"/>
  <c r="S80"/>
  <c r="O80"/>
  <c r="G80"/>
  <c r="G55"/>
  <c r="F63"/>
  <c r="J63"/>
  <c r="N63"/>
  <c r="R63"/>
  <c r="G190"/>
  <c r="V75" l="1"/>
  <c r="V63"/>
  <c r="L52"/>
  <c r="K52"/>
  <c r="G52"/>
  <c r="T122"/>
  <c r="U122"/>
  <c r="S122"/>
  <c r="P122"/>
  <c r="Q122"/>
  <c r="O122"/>
  <c r="L122"/>
  <c r="M122"/>
  <c r="H122"/>
  <c r="I122"/>
  <c r="G122"/>
  <c r="R125"/>
  <c r="N125"/>
  <c r="J125"/>
  <c r="F125"/>
  <c r="F122" l="1"/>
  <c r="V125"/>
  <c r="Q184" l="1"/>
  <c r="T184"/>
  <c r="U184"/>
  <c r="S184"/>
  <c r="R186"/>
  <c r="R187"/>
  <c r="R188"/>
  <c r="R189"/>
  <c r="R190"/>
  <c r="R191"/>
  <c r="R192"/>
  <c r="N186"/>
  <c r="N187"/>
  <c r="N188"/>
  <c r="N189"/>
  <c r="N190"/>
  <c r="N191"/>
  <c r="N192"/>
  <c r="J186"/>
  <c r="J187"/>
  <c r="J188"/>
  <c r="J189"/>
  <c r="J190"/>
  <c r="J191"/>
  <c r="J192"/>
  <c r="H184"/>
  <c r="I184"/>
  <c r="G184"/>
  <c r="F186"/>
  <c r="F187"/>
  <c r="F188"/>
  <c r="F189"/>
  <c r="F190"/>
  <c r="F191"/>
  <c r="F192"/>
  <c r="G177"/>
  <c r="T173"/>
  <c r="U173"/>
  <c r="S173"/>
  <c r="P173"/>
  <c r="Q173"/>
  <c r="O173"/>
  <c r="L173"/>
  <c r="M173"/>
  <c r="K173"/>
  <c r="H173"/>
  <c r="I173"/>
  <c r="G173"/>
  <c r="R175"/>
  <c r="N175"/>
  <c r="J175"/>
  <c r="F175"/>
  <c r="R159"/>
  <c r="N159"/>
  <c r="J159"/>
  <c r="F159"/>
  <c r="T140"/>
  <c r="U140"/>
  <c r="S140"/>
  <c r="P140"/>
  <c r="Q140"/>
  <c r="O140"/>
  <c r="L140"/>
  <c r="K140"/>
  <c r="H140"/>
  <c r="G140"/>
  <c r="G151"/>
  <c r="N154"/>
  <c r="R154"/>
  <c r="J154"/>
  <c r="F154"/>
  <c r="R142"/>
  <c r="R144"/>
  <c r="R145"/>
  <c r="R146"/>
  <c r="N142"/>
  <c r="N144"/>
  <c r="N145"/>
  <c r="J142"/>
  <c r="J144"/>
  <c r="J145"/>
  <c r="F142"/>
  <c r="F144"/>
  <c r="V144" s="1"/>
  <c r="F145"/>
  <c r="T133"/>
  <c r="U133"/>
  <c r="S133"/>
  <c r="P133"/>
  <c r="Q133"/>
  <c r="O133"/>
  <c r="R135"/>
  <c r="L133"/>
  <c r="M133"/>
  <c r="K133"/>
  <c r="H133"/>
  <c r="I133"/>
  <c r="G133"/>
  <c r="R124"/>
  <c r="N124"/>
  <c r="J124"/>
  <c r="F124"/>
  <c r="R120"/>
  <c r="N120"/>
  <c r="J120"/>
  <c r="F120"/>
  <c r="G117"/>
  <c r="T113"/>
  <c r="U113"/>
  <c r="S113"/>
  <c r="P113"/>
  <c r="Q113"/>
  <c r="O113"/>
  <c r="R115"/>
  <c r="N115"/>
  <c r="L113"/>
  <c r="M113"/>
  <c r="K113"/>
  <c r="J115"/>
  <c r="H113"/>
  <c r="I113"/>
  <c r="G113"/>
  <c r="F115"/>
  <c r="T109"/>
  <c r="U109"/>
  <c r="S109"/>
  <c r="T104"/>
  <c r="U104"/>
  <c r="S104"/>
  <c r="P104"/>
  <c r="Q104"/>
  <c r="O104"/>
  <c r="R106"/>
  <c r="R107"/>
  <c r="R108"/>
  <c r="N106"/>
  <c r="N107"/>
  <c r="N108"/>
  <c r="J106"/>
  <c r="J107"/>
  <c r="J108"/>
  <c r="L104"/>
  <c r="M104"/>
  <c r="K104"/>
  <c r="H104"/>
  <c r="I104"/>
  <c r="G104"/>
  <c r="F106"/>
  <c r="F107"/>
  <c r="F108"/>
  <c r="I66"/>
  <c r="H66"/>
  <c r="G66"/>
  <c r="K66"/>
  <c r="L66"/>
  <c r="M66"/>
  <c r="O66"/>
  <c r="Q66"/>
  <c r="S66"/>
  <c r="U66"/>
  <c r="T66"/>
  <c r="P66"/>
  <c r="O52"/>
  <c r="T52"/>
  <c r="S52"/>
  <c r="P52"/>
  <c r="V189" l="1"/>
  <c r="N173"/>
  <c r="V192"/>
  <c r="V188"/>
  <c r="V142"/>
  <c r="V190"/>
  <c r="V186"/>
  <c r="V191"/>
  <c r="V187"/>
  <c r="V145"/>
  <c r="F173"/>
  <c r="V159"/>
  <c r="V120"/>
  <c r="V175"/>
  <c r="J173"/>
  <c r="V154"/>
  <c r="U112"/>
  <c r="G112"/>
  <c r="I112"/>
  <c r="Q112"/>
  <c r="M112"/>
  <c r="V115"/>
  <c r="U103"/>
  <c r="V124"/>
  <c r="T103"/>
  <c r="S103"/>
  <c r="V108"/>
  <c r="N66"/>
  <c r="V107"/>
  <c r="F57"/>
  <c r="R47"/>
  <c r="R59"/>
  <c r="R60"/>
  <c r="N59"/>
  <c r="N60"/>
  <c r="J59"/>
  <c r="J60"/>
  <c r="F59"/>
  <c r="F60"/>
  <c r="F61"/>
  <c r="J61"/>
  <c r="N61"/>
  <c r="R61"/>
  <c r="T55"/>
  <c r="U55"/>
  <c r="S55"/>
  <c r="P55"/>
  <c r="Q55"/>
  <c r="O55"/>
  <c r="H55"/>
  <c r="I55"/>
  <c r="K55"/>
  <c r="L55"/>
  <c r="M55"/>
  <c r="H52"/>
  <c r="I52"/>
  <c r="R57"/>
  <c r="R58"/>
  <c r="N57"/>
  <c r="N58"/>
  <c r="J57"/>
  <c r="J58"/>
  <c r="V58" s="1"/>
  <c r="F58"/>
  <c r="R13"/>
  <c r="R14"/>
  <c r="R15"/>
  <c r="R12"/>
  <c r="N13"/>
  <c r="N14"/>
  <c r="N15"/>
  <c r="N12"/>
  <c r="J13"/>
  <c r="J14"/>
  <c r="J15"/>
  <c r="J12"/>
  <c r="F13"/>
  <c r="F14"/>
  <c r="F15"/>
  <c r="F12"/>
  <c r="F18"/>
  <c r="F52" l="1"/>
  <c r="V173"/>
  <c r="V60"/>
  <c r="V61"/>
  <c r="F55"/>
  <c r="V57"/>
  <c r="V59"/>
  <c r="R55"/>
  <c r="J55"/>
  <c r="N55"/>
  <c r="V55" l="1"/>
  <c r="F35"/>
  <c r="J35"/>
  <c r="R35"/>
  <c r="N35"/>
  <c r="G31" l="1"/>
  <c r="V35"/>
  <c r="F164" l="1"/>
  <c r="J164"/>
  <c r="N164"/>
  <c r="R164"/>
  <c r="V164" l="1"/>
  <c r="F33"/>
  <c r="H31"/>
  <c r="P109" l="1"/>
  <c r="P103" s="1"/>
  <c r="Q109"/>
  <c r="Q103" s="1"/>
  <c r="O109"/>
  <c r="O103" s="1"/>
  <c r="L109"/>
  <c r="L103" s="1"/>
  <c r="M109"/>
  <c r="M103" s="1"/>
  <c r="K109"/>
  <c r="K103" s="1"/>
  <c r="H109"/>
  <c r="H103" s="1"/>
  <c r="I109"/>
  <c r="I103" s="1"/>
  <c r="F111"/>
  <c r="J111"/>
  <c r="N111"/>
  <c r="R111"/>
  <c r="G109" l="1"/>
  <c r="G103" s="1"/>
  <c r="V111"/>
  <c r="G10" l="1"/>
  <c r="F72"/>
  <c r="J72"/>
  <c r="N72"/>
  <c r="R72"/>
  <c r="F73"/>
  <c r="J73"/>
  <c r="N73"/>
  <c r="R73"/>
  <c r="V14" l="1"/>
  <c r="V73"/>
  <c r="V72"/>
  <c r="K19" i="2"/>
  <c r="I25" i="1" l="1"/>
  <c r="F162" l="1"/>
  <c r="J162"/>
  <c r="N162"/>
  <c r="R162"/>
  <c r="F78"/>
  <c r="J78"/>
  <c r="N78"/>
  <c r="R78"/>
  <c r="U180"/>
  <c r="Q180"/>
  <c r="L180"/>
  <c r="M180"/>
  <c r="K180"/>
  <c r="I180"/>
  <c r="F182"/>
  <c r="J182"/>
  <c r="N182"/>
  <c r="R182"/>
  <c r="V162" l="1"/>
  <c r="V78"/>
  <c r="T180"/>
  <c r="O180"/>
  <c r="S180"/>
  <c r="P180"/>
  <c r="V182"/>
  <c r="H180"/>
  <c r="F30" l="1"/>
  <c r="J30"/>
  <c r="N30"/>
  <c r="R30"/>
  <c r="R121"/>
  <c r="N121"/>
  <c r="J121"/>
  <c r="F121"/>
  <c r="M10"/>
  <c r="H10"/>
  <c r="R81"/>
  <c r="N81"/>
  <c r="J81"/>
  <c r="F81"/>
  <c r="G180"/>
  <c r="F180" s="1"/>
  <c r="V30" l="1"/>
  <c r="V81"/>
  <c r="V121"/>
  <c r="F80" l="1"/>
  <c r="J80"/>
  <c r="N80"/>
  <c r="R80"/>
  <c r="V80" l="1"/>
  <c r="G25" l="1"/>
  <c r="G136" l="1"/>
  <c r="F119"/>
  <c r="R203"/>
  <c r="R202"/>
  <c r="R198"/>
  <c r="R197"/>
  <c r="R193"/>
  <c r="R183"/>
  <c r="R179"/>
  <c r="R172"/>
  <c r="R171"/>
  <c r="R170"/>
  <c r="R166"/>
  <c r="R163"/>
  <c r="R161"/>
  <c r="R160"/>
  <c r="R155"/>
  <c r="R153"/>
  <c r="R150"/>
  <c r="R149"/>
  <c r="R138"/>
  <c r="R131"/>
  <c r="R130"/>
  <c r="R126"/>
  <c r="R119"/>
  <c r="R116"/>
  <c r="R99"/>
  <c r="R96"/>
  <c r="R95"/>
  <c r="R94"/>
  <c r="R93"/>
  <c r="R92"/>
  <c r="R91"/>
  <c r="R88"/>
  <c r="R87"/>
  <c r="R86"/>
  <c r="R85"/>
  <c r="R84"/>
  <c r="R77"/>
  <c r="R76"/>
  <c r="R74"/>
  <c r="R71"/>
  <c r="R69"/>
  <c r="R68"/>
  <c r="R64"/>
  <c r="R54"/>
  <c r="R44"/>
  <c r="R43"/>
  <c r="R40"/>
  <c r="R39"/>
  <c r="R34"/>
  <c r="R33"/>
  <c r="R27"/>
  <c r="R24"/>
  <c r="R23"/>
  <c r="R22"/>
  <c r="R21"/>
  <c r="R20"/>
  <c r="R19"/>
  <c r="R18"/>
  <c r="U200"/>
  <c r="U199" s="1"/>
  <c r="U195"/>
  <c r="U194" s="1"/>
  <c r="U177"/>
  <c r="U168"/>
  <c r="U151"/>
  <c r="U147"/>
  <c r="U136"/>
  <c r="U128"/>
  <c r="U97"/>
  <c r="U89"/>
  <c r="U82"/>
  <c r="U52"/>
  <c r="U41"/>
  <c r="U37"/>
  <c r="U31"/>
  <c r="U25"/>
  <c r="U16"/>
  <c r="U10"/>
  <c r="N203"/>
  <c r="N202"/>
  <c r="N198"/>
  <c r="N197"/>
  <c r="N193"/>
  <c r="N183"/>
  <c r="N179"/>
  <c r="N172"/>
  <c r="N171"/>
  <c r="N170"/>
  <c r="N166"/>
  <c r="N163"/>
  <c r="N161"/>
  <c r="N160"/>
  <c r="N155"/>
  <c r="N153"/>
  <c r="N150"/>
  <c r="N149"/>
  <c r="N146"/>
  <c r="N138"/>
  <c r="N135"/>
  <c r="N131"/>
  <c r="N130"/>
  <c r="N126"/>
  <c r="N119"/>
  <c r="N116"/>
  <c r="N99"/>
  <c r="N96"/>
  <c r="N95"/>
  <c r="N94"/>
  <c r="N93"/>
  <c r="N92"/>
  <c r="N91"/>
  <c r="N88"/>
  <c r="N87"/>
  <c r="N86"/>
  <c r="N85"/>
  <c r="N84"/>
  <c r="N77"/>
  <c r="N76"/>
  <c r="N74"/>
  <c r="N71"/>
  <c r="N69"/>
  <c r="N68"/>
  <c r="N64"/>
  <c r="N54"/>
  <c r="N47"/>
  <c r="N44"/>
  <c r="N43"/>
  <c r="N40"/>
  <c r="N39"/>
  <c r="N34"/>
  <c r="N33"/>
  <c r="N27"/>
  <c r="N24"/>
  <c r="N23"/>
  <c r="N22"/>
  <c r="N21"/>
  <c r="N20"/>
  <c r="N19"/>
  <c r="N18"/>
  <c r="Q200"/>
  <c r="Q199" s="1"/>
  <c r="Q195"/>
  <c r="Q194" s="1"/>
  <c r="Q177"/>
  <c r="Q168"/>
  <c r="Q151"/>
  <c r="Q147"/>
  <c r="Q136"/>
  <c r="Q128"/>
  <c r="Q97"/>
  <c r="Q89"/>
  <c r="Q82"/>
  <c r="Q52"/>
  <c r="Q41"/>
  <c r="Q37"/>
  <c r="Q31"/>
  <c r="Q25"/>
  <c r="Q16"/>
  <c r="Q10"/>
  <c r="J203"/>
  <c r="J202"/>
  <c r="M200"/>
  <c r="M199" s="1"/>
  <c r="L200"/>
  <c r="L199" s="1"/>
  <c r="K200"/>
  <c r="K199" s="1"/>
  <c r="J198"/>
  <c r="J197"/>
  <c r="M195"/>
  <c r="M194" s="1"/>
  <c r="L195"/>
  <c r="L194" s="1"/>
  <c r="K195"/>
  <c r="K194" s="1"/>
  <c r="J193"/>
  <c r="J183"/>
  <c r="J179"/>
  <c r="M177"/>
  <c r="L177"/>
  <c r="K177"/>
  <c r="J172"/>
  <c r="J171"/>
  <c r="J170"/>
  <c r="M168"/>
  <c r="M156" s="1"/>
  <c r="L168"/>
  <c r="L156" s="1"/>
  <c r="K168"/>
  <c r="K156" s="1"/>
  <c r="J166"/>
  <c r="J163"/>
  <c r="J161"/>
  <c r="J160"/>
  <c r="J155"/>
  <c r="J153"/>
  <c r="M151"/>
  <c r="L151"/>
  <c r="K151"/>
  <c r="J150"/>
  <c r="J149"/>
  <c r="M147"/>
  <c r="L147"/>
  <c r="K147"/>
  <c r="J146"/>
  <c r="J138"/>
  <c r="M136"/>
  <c r="L136"/>
  <c r="K136"/>
  <c r="J135"/>
  <c r="J131"/>
  <c r="J130"/>
  <c r="M128"/>
  <c r="L128"/>
  <c r="K128"/>
  <c r="J126"/>
  <c r="J119"/>
  <c r="L117"/>
  <c r="L112" s="1"/>
  <c r="K117"/>
  <c r="K112" s="1"/>
  <c r="J116"/>
  <c r="J99"/>
  <c r="M97"/>
  <c r="L97"/>
  <c r="K97"/>
  <c r="J96"/>
  <c r="J95"/>
  <c r="J94"/>
  <c r="J93"/>
  <c r="J92"/>
  <c r="J91"/>
  <c r="M89"/>
  <c r="L89"/>
  <c r="K89"/>
  <c r="J88"/>
  <c r="J87"/>
  <c r="J86"/>
  <c r="J85"/>
  <c r="J84"/>
  <c r="M82"/>
  <c r="L82"/>
  <c r="K82"/>
  <c r="J77"/>
  <c r="J76"/>
  <c r="J74"/>
  <c r="J71"/>
  <c r="J69"/>
  <c r="J68"/>
  <c r="J64"/>
  <c r="J54"/>
  <c r="M52"/>
  <c r="J47"/>
  <c r="J44"/>
  <c r="J43"/>
  <c r="M41"/>
  <c r="L41"/>
  <c r="K41"/>
  <c r="J40"/>
  <c r="J39"/>
  <c r="M37"/>
  <c r="L37"/>
  <c r="K37"/>
  <c r="J34"/>
  <c r="J33"/>
  <c r="M31"/>
  <c r="L31"/>
  <c r="K31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4"/>
  <c r="F39"/>
  <c r="F40"/>
  <c r="F43"/>
  <c r="F44"/>
  <c r="F47"/>
  <c r="F54"/>
  <c r="F68"/>
  <c r="F69"/>
  <c r="F71"/>
  <c r="F74"/>
  <c r="F76"/>
  <c r="F77"/>
  <c r="F84"/>
  <c r="F85"/>
  <c r="F86"/>
  <c r="F87"/>
  <c r="F88"/>
  <c r="F91"/>
  <c r="F92"/>
  <c r="F93"/>
  <c r="F94"/>
  <c r="F95"/>
  <c r="F96"/>
  <c r="F99"/>
  <c r="F116"/>
  <c r="F126"/>
  <c r="F130"/>
  <c r="F131"/>
  <c r="F135"/>
  <c r="F138"/>
  <c r="F146"/>
  <c r="F149"/>
  <c r="F150"/>
  <c r="F153"/>
  <c r="F155"/>
  <c r="F160"/>
  <c r="F161"/>
  <c r="F163"/>
  <c r="F166"/>
  <c r="F170"/>
  <c r="F171"/>
  <c r="F172"/>
  <c r="F179"/>
  <c r="F183"/>
  <c r="F193"/>
  <c r="F197"/>
  <c r="F198"/>
  <c r="F202"/>
  <c r="F203"/>
  <c r="I200"/>
  <c r="I199" s="1"/>
  <c r="I195"/>
  <c r="I194" s="1"/>
  <c r="I177"/>
  <c r="I168"/>
  <c r="I156" s="1"/>
  <c r="I151"/>
  <c r="I147"/>
  <c r="I136"/>
  <c r="I128"/>
  <c r="I97"/>
  <c r="I89"/>
  <c r="I82"/>
  <c r="I41"/>
  <c r="I37"/>
  <c r="I31"/>
  <c r="I16"/>
  <c r="I10"/>
  <c r="F10" s="1"/>
  <c r="M65" l="1"/>
  <c r="Q65"/>
  <c r="I65"/>
  <c r="V135"/>
  <c r="U65"/>
  <c r="V76"/>
  <c r="V166"/>
  <c r="L65"/>
  <c r="K65"/>
  <c r="V202"/>
  <c r="Q156"/>
  <c r="V153"/>
  <c r="V126"/>
  <c r="V163"/>
  <c r="V161"/>
  <c r="V99"/>
  <c r="M36"/>
  <c r="Q36"/>
  <c r="L36"/>
  <c r="I36"/>
  <c r="K36"/>
  <c r="U36"/>
  <c r="K176"/>
  <c r="Q9"/>
  <c r="R66"/>
  <c r="V74"/>
  <c r="I9"/>
  <c r="K127"/>
  <c r="I176"/>
  <c r="Q127"/>
  <c r="Q176"/>
  <c r="M127"/>
  <c r="M176"/>
  <c r="L176"/>
  <c r="U176"/>
  <c r="U127"/>
  <c r="I127"/>
  <c r="L127"/>
  <c r="L9"/>
  <c r="M9"/>
  <c r="K9"/>
  <c r="U9"/>
  <c r="V149"/>
  <c r="V15"/>
  <c r="V87"/>
  <c r="V146"/>
  <c r="V54"/>
  <c r="V39"/>
  <c r="V27"/>
  <c r="V20"/>
  <c r="V40"/>
  <c r="V44"/>
  <c r="V116"/>
  <c r="V13"/>
  <c r="V64"/>
  <c r="V68"/>
  <c r="V77"/>
  <c r="V88"/>
  <c r="V131"/>
  <c r="V150"/>
  <c r="V155"/>
  <c r="V170"/>
  <c r="V47"/>
  <c r="V197"/>
  <c r="V119"/>
  <c r="V34"/>
  <c r="V12"/>
  <c r="V33"/>
  <c r="V84"/>
  <c r="V92"/>
  <c r="V95"/>
  <c r="V172"/>
  <c r="V179"/>
  <c r="V93"/>
  <c r="V19"/>
  <c r="V22"/>
  <c r="V24"/>
  <c r="V43"/>
  <c r="V71"/>
  <c r="V91"/>
  <c r="V94"/>
  <c r="V130"/>
  <c r="V138"/>
  <c r="V18"/>
  <c r="V21"/>
  <c r="V23"/>
  <c r="V69"/>
  <c r="V96"/>
  <c r="M139"/>
  <c r="V171"/>
  <c r="V193"/>
  <c r="V198"/>
  <c r="U139"/>
  <c r="J184"/>
  <c r="J200"/>
  <c r="J97"/>
  <c r="Q139"/>
  <c r="J113"/>
  <c r="J109"/>
  <c r="J136"/>
  <c r="J168"/>
  <c r="I139"/>
  <c r="J25"/>
  <c r="J104"/>
  <c r="J122"/>
  <c r="J133"/>
  <c r="J52"/>
  <c r="L139"/>
  <c r="J151"/>
  <c r="J180"/>
  <c r="J157"/>
  <c r="K139"/>
  <c r="J140"/>
  <c r="J128"/>
  <c r="J89"/>
  <c r="J82"/>
  <c r="J66"/>
  <c r="J45"/>
  <c r="J41"/>
  <c r="J37"/>
  <c r="J31"/>
  <c r="J16"/>
  <c r="J10"/>
  <c r="J147"/>
  <c r="J177"/>
  <c r="J195"/>
  <c r="J117"/>
  <c r="V102" l="1"/>
  <c r="V100"/>
  <c r="J176"/>
  <c r="D13" i="2" s="1"/>
  <c r="L13" s="1"/>
  <c r="J139" i="1"/>
  <c r="J194"/>
  <c r="D17" i="2" s="1"/>
  <c r="L17" s="1"/>
  <c r="M8" i="1"/>
  <c r="J103"/>
  <c r="D15" i="2" s="1"/>
  <c r="L15" s="1"/>
  <c r="P15" s="1"/>
  <c r="J112" i="1"/>
  <c r="J199"/>
  <c r="D16" i="2" s="1"/>
  <c r="L16" s="1"/>
  <c r="P16" s="1"/>
  <c r="Q8" i="1"/>
  <c r="J156"/>
  <c r="D14" i="2" s="1"/>
  <c r="L14" s="1"/>
  <c r="P14" s="1"/>
  <c r="J127" i="1"/>
  <c r="J65"/>
  <c r="D11" i="2" s="1"/>
  <c r="L11" s="1"/>
  <c r="P11" s="1"/>
  <c r="L8" i="1"/>
  <c r="J36"/>
  <c r="D9" i="2" s="1"/>
  <c r="L9" s="1"/>
  <c r="J9" i="1"/>
  <c r="D8" i="2" s="1"/>
  <c r="L8" s="1"/>
  <c r="P8" s="1"/>
  <c r="K8" i="1"/>
  <c r="I8"/>
  <c r="J8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200" i="1"/>
  <c r="T199" s="1"/>
  <c r="S200"/>
  <c r="S199" s="1"/>
  <c r="T195"/>
  <c r="T194" s="1"/>
  <c r="S195"/>
  <c r="S194" s="1"/>
  <c r="T177"/>
  <c r="S177"/>
  <c r="T168"/>
  <c r="S168"/>
  <c r="T151"/>
  <c r="S151"/>
  <c r="T147"/>
  <c r="S147"/>
  <c r="T136"/>
  <c r="S136"/>
  <c r="T128"/>
  <c r="S128"/>
  <c r="T117"/>
  <c r="T112" s="1"/>
  <c r="S117"/>
  <c r="S112" s="1"/>
  <c r="T97"/>
  <c r="S97"/>
  <c r="T89"/>
  <c r="S89"/>
  <c r="T82"/>
  <c r="S82"/>
  <c r="T41"/>
  <c r="S41"/>
  <c r="T37"/>
  <c r="S37"/>
  <c r="T31"/>
  <c r="S31"/>
  <c r="T25"/>
  <c r="S25"/>
  <c r="T16"/>
  <c r="S16"/>
  <c r="T10"/>
  <c r="S10"/>
  <c r="P200"/>
  <c r="P199" s="1"/>
  <c r="O200"/>
  <c r="O199" s="1"/>
  <c r="P195"/>
  <c r="P194" s="1"/>
  <c r="O195"/>
  <c r="O194" s="1"/>
  <c r="P177"/>
  <c r="O177"/>
  <c r="P168"/>
  <c r="O168"/>
  <c r="P151"/>
  <c r="O151"/>
  <c r="P147"/>
  <c r="O147"/>
  <c r="P136"/>
  <c r="O136"/>
  <c r="P128"/>
  <c r="O128"/>
  <c r="P117"/>
  <c r="P112" s="1"/>
  <c r="O117"/>
  <c r="O112" s="1"/>
  <c r="P97"/>
  <c r="O97"/>
  <c r="P89"/>
  <c r="O89"/>
  <c r="P82"/>
  <c r="O82"/>
  <c r="P41"/>
  <c r="O41"/>
  <c r="P37"/>
  <c r="O37"/>
  <c r="P31"/>
  <c r="O31"/>
  <c r="P25"/>
  <c r="O25"/>
  <c r="P16"/>
  <c r="O16"/>
  <c r="P10"/>
  <c r="O10"/>
  <c r="H200"/>
  <c r="H199" s="1"/>
  <c r="G200"/>
  <c r="G199" s="1"/>
  <c r="G195"/>
  <c r="G194" s="1"/>
  <c r="H177"/>
  <c r="G168"/>
  <c r="G156" s="1"/>
  <c r="H168"/>
  <c r="H156" s="1"/>
  <c r="H151"/>
  <c r="H147"/>
  <c r="H136"/>
  <c r="H128"/>
  <c r="G128"/>
  <c r="H117"/>
  <c r="G97"/>
  <c r="H97"/>
  <c r="H89"/>
  <c r="G82"/>
  <c r="H82"/>
  <c r="G41"/>
  <c r="H37"/>
  <c r="H16"/>
  <c r="O65" l="1"/>
  <c r="S65"/>
  <c r="P65"/>
  <c r="H65"/>
  <c r="T65"/>
  <c r="F156"/>
  <c r="O156"/>
  <c r="P156"/>
  <c r="F117"/>
  <c r="H112"/>
  <c r="T36"/>
  <c r="P36"/>
  <c r="O36"/>
  <c r="S36"/>
  <c r="P9"/>
  <c r="R133"/>
  <c r="G127"/>
  <c r="O127"/>
  <c r="O176"/>
  <c r="G176"/>
  <c r="H176"/>
  <c r="P127"/>
  <c r="P176"/>
  <c r="H127"/>
  <c r="T127"/>
  <c r="T176"/>
  <c r="S127"/>
  <c r="S176"/>
  <c r="O9"/>
  <c r="T9"/>
  <c r="S9"/>
  <c r="R184"/>
  <c r="R16"/>
  <c r="R31"/>
  <c r="R37"/>
  <c r="R52"/>
  <c r="R82"/>
  <c r="R97"/>
  <c r="R104"/>
  <c r="R113"/>
  <c r="R128"/>
  <c r="R140"/>
  <c r="R177"/>
  <c r="R195"/>
  <c r="R10"/>
  <c r="R25"/>
  <c r="R41"/>
  <c r="R45"/>
  <c r="R89"/>
  <c r="R109"/>
  <c r="R117"/>
  <c r="R136"/>
  <c r="R147"/>
  <c r="R157"/>
  <c r="R168"/>
  <c r="R180"/>
  <c r="R151"/>
  <c r="R122"/>
  <c r="R200"/>
  <c r="N117"/>
  <c r="F184"/>
  <c r="V184" s="1"/>
  <c r="N122"/>
  <c r="N133"/>
  <c r="N200"/>
  <c r="N16"/>
  <c r="N31"/>
  <c r="N37"/>
  <c r="N52"/>
  <c r="N82"/>
  <c r="N97"/>
  <c r="N104"/>
  <c r="N113"/>
  <c r="N128"/>
  <c r="N140"/>
  <c r="N151"/>
  <c r="N177"/>
  <c r="N195"/>
  <c r="N10"/>
  <c r="N25"/>
  <c r="N41"/>
  <c r="N45"/>
  <c r="N89"/>
  <c r="N109"/>
  <c r="N136"/>
  <c r="N147"/>
  <c r="N157"/>
  <c r="N168"/>
  <c r="N180"/>
  <c r="N184"/>
  <c r="V122"/>
  <c r="F133"/>
  <c r="V133" s="1"/>
  <c r="F97"/>
  <c r="V97" s="1"/>
  <c r="F113"/>
  <c r="V113" s="1"/>
  <c r="F140"/>
  <c r="V140" s="1"/>
  <c r="V180"/>
  <c r="F200"/>
  <c r="V200" s="1"/>
  <c r="F45"/>
  <c r="V45" s="1"/>
  <c r="F128"/>
  <c r="V128" s="1"/>
  <c r="F136"/>
  <c r="V136" s="1"/>
  <c r="F177"/>
  <c r="F151"/>
  <c r="V151" s="1"/>
  <c r="F82"/>
  <c r="V82" s="1"/>
  <c r="F168"/>
  <c r="V168" s="1"/>
  <c r="P139"/>
  <c r="T139"/>
  <c r="H139"/>
  <c r="S139"/>
  <c r="O139"/>
  <c r="G37"/>
  <c r="G36" s="1"/>
  <c r="F31"/>
  <c r="V31" s="1"/>
  <c r="G147"/>
  <c r="H25"/>
  <c r="F25" s="1"/>
  <c r="V25" s="1"/>
  <c r="H41"/>
  <c r="F41" s="1"/>
  <c r="V41" s="1"/>
  <c r="G16"/>
  <c r="F16" s="1"/>
  <c r="V16" s="1"/>
  <c r="F104"/>
  <c r="V104" s="1"/>
  <c r="F109"/>
  <c r="V109" s="1"/>
  <c r="H195"/>
  <c r="H194" s="1"/>
  <c r="G89"/>
  <c r="F89" s="1"/>
  <c r="V89" s="1"/>
  <c r="F176" l="1"/>
  <c r="N176"/>
  <c r="G65"/>
  <c r="F65" s="1"/>
  <c r="H36"/>
  <c r="V177"/>
  <c r="F37"/>
  <c r="V37" s="1"/>
  <c r="N127"/>
  <c r="H9"/>
  <c r="G9"/>
  <c r="R112"/>
  <c r="R176"/>
  <c r="R9"/>
  <c r="R199"/>
  <c r="R194"/>
  <c r="R127"/>
  <c r="R65"/>
  <c r="N112"/>
  <c r="N103"/>
  <c r="N9"/>
  <c r="R103"/>
  <c r="R139"/>
  <c r="N199"/>
  <c r="N156"/>
  <c r="R36"/>
  <c r="N139"/>
  <c r="F112"/>
  <c r="V117"/>
  <c r="N36"/>
  <c r="N194"/>
  <c r="N65"/>
  <c r="F66"/>
  <c r="V66" s="1"/>
  <c r="F157"/>
  <c r="V157" s="1"/>
  <c r="F194"/>
  <c r="V52"/>
  <c r="F199"/>
  <c r="G139"/>
  <c r="F139" s="1"/>
  <c r="F147"/>
  <c r="V147" s="1"/>
  <c r="F127"/>
  <c r="V10"/>
  <c r="F195"/>
  <c r="V195" s="1"/>
  <c r="P8"/>
  <c r="O8"/>
  <c r="F103"/>
  <c r="V103" s="1"/>
  <c r="E15" i="2" l="1"/>
  <c r="C15"/>
  <c r="K15" s="1"/>
  <c r="V194" i="1"/>
  <c r="E17" i="2" s="1"/>
  <c r="C17"/>
  <c r="K17" s="1"/>
  <c r="V65" i="1"/>
  <c r="E11" i="2" s="1"/>
  <c r="C11"/>
  <c r="K11" s="1"/>
  <c r="V199" i="1"/>
  <c r="E16" i="2" s="1"/>
  <c r="C16"/>
  <c r="K16" s="1"/>
  <c r="V156" i="1"/>
  <c r="E14" i="2" s="1"/>
  <c r="C14"/>
  <c r="K14" s="1"/>
  <c r="N8" i="1"/>
  <c r="V112"/>
  <c r="E10" i="2" s="1"/>
  <c r="C10"/>
  <c r="K10" s="1"/>
  <c r="V127" i="1"/>
  <c r="E12" i="2" s="1"/>
  <c r="C12"/>
  <c r="K12" s="1"/>
  <c r="V139" i="1"/>
  <c r="E7" i="2" s="1"/>
  <c r="C7"/>
  <c r="K7" s="1"/>
  <c r="V176" i="1"/>
  <c r="E13" i="2" s="1"/>
  <c r="C13"/>
  <c r="K13" s="1"/>
  <c r="F36" i="1"/>
  <c r="F9"/>
  <c r="H8"/>
  <c r="G8"/>
  <c r="V36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56" i="1"/>
  <c r="S8" l="1"/>
  <c r="R173"/>
  <c r="U156"/>
  <c r="U8" s="1"/>
  <c r="T156"/>
  <c r="T8" s="1"/>
  <c r="R8" l="1"/>
  <c r="R156"/>
</calcChain>
</file>

<file path=xl/sharedStrings.xml><?xml version="1.0" encoding="utf-8"?>
<sst xmlns="http://schemas.openxmlformats.org/spreadsheetml/2006/main" count="785" uniqueCount="371">
  <si>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</si>
  <si>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</si>
  <si>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</si>
  <si>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</si>
  <si>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</si>
  <si>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</si>
  <si>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</si>
  <si>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</si>
  <si>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</si>
  <si>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</si>
  <si>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</si>
  <si>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</si>
  <si>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</si>
  <si>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</si>
  <si>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</si>
  <si>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</si>
  <si>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</si>
  <si>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</si>
  <si>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</si>
  <si>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</si>
  <si>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</si>
  <si>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</si>
  <si>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</si>
  <si>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</si>
  <si>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</si>
  <si>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</si>
  <si>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</si>
  <si>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</si>
  <si>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</si>
  <si>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</si>
  <si>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</si>
  <si>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</si>
  <si>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</si>
  <si>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</si>
  <si>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</si>
  <si>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</si>
  <si>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</si>
  <si>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</si>
  <si>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</si>
  <si>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</si>
  <si>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</si>
  <si>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</si>
  <si>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</si>
  <si>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</si>
  <si>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</si>
  <si>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</si>
  <si>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</si>
  <si>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</si>
  <si>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</si>
  <si>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</si>
  <si>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</si>
  <si>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</si>
  <si>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</si>
  <si>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</si>
  <si>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</si>
  <si>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</si>
  <si>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</si>
  <si>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</si>
  <si>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</si>
  <si>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</si>
  <si>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</si>
  <si>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</si>
  <si>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</si>
  <si>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</si>
  <si>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</si>
  <si>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</si>
  <si>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</si>
  <si>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</si>
  <si>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</si>
  <si>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</si>
  <si>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</si>
  <si>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</si>
  <si>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</si>
  <si>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</si>
  <si>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</si>
  <si>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</si>
  <si>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</si>
  <si>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</si>
  <si>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</si>
  <si>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</si>
  <si>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</si>
  <si>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</si>
  <si>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</si>
  <si>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</si>
  <si>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</si>
  <si>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</si>
  <si>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</si>
  <si>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</si>
  <si>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</si>
  <si>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</si>
  <si>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</si>
  <si>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</si>
  <si>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</si>
  <si>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</si>
  <si>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</si>
  <si>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</si>
  <si>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</si>
  <si>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</si>
  <si>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</si>
  <si>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</si>
  <si>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</si>
  <si>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</si>
  <si>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</si>
  <si>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</si>
  <si>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</si>
  <si>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</si>
  <si>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</si>
  <si>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</si>
  <si>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</si>
  <si>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</si>
  <si>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</si>
  <si>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</si>
  <si>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</si>
  <si>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</si>
  <si>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</si>
  <si>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</si>
  <si>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</si>
  <si>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</si>
  <si>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</si>
  <si>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</si>
  <si>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</si>
  <si>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</si>
  <si>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</si>
  <si>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</si>
  <si>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</si>
  <si>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</si>
  <si>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</si>
  <si>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</si>
  <si>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</si>
  <si>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</si>
  <si>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</si>
  <si>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</si>
  <si>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</si>
  <si>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</si>
  <si>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</si>
  <si>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</si>
  <si>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</si>
  <si>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</si>
  <si>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</si>
  <si>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</si>
  <si>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</si>
  <si>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</si>
  <si>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</si>
  <si>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</si>
  <si>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</si>
  <si>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</si>
  <si>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</si>
  <si>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</si>
  <si>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</si>
  <si>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</si>
  <si>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</si>
  <si>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</si>
  <si>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</si>
  <si>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</si>
  <si>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</si>
  <si>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</si>
  <si>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</si>
  <si>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</si>
  <si>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</si>
  <si>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</si>
  <si>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</si>
  <si>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</si>
  <si>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</si>
  <si>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</si>
  <si>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</si>
  <si>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</si>
  <si>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</si>
  <si>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</si>
  <si>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</si>
  <si>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</si>
  <si>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</si>
  <si>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</si>
  <si>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</si>
  <si>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</si>
  <si>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</si>
  <si>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</si>
  <si>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</si>
  <si>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</si>
  <si>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</si>
  <si>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</si>
  <si>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</si>
  <si>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</si>
  <si>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</si>
  <si>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</si>
  <si>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</si>
  <si>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</si>
  <si>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</si>
  <si>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</si>
  <si>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</si>
  <si>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</si>
  <si>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</si>
  <si>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</si>
  <si>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</si>
  <si>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</si>
  <si>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</si>
  <si>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</si>
  <si>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</si>
  <si>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</si>
  <si>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</si>
  <si>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</si>
  <si>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</si>
  <si>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</si>
  <si>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</si>
  <si>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</si>
  <si>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</si>
  <si>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</si>
  <si>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</si>
  <si>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</si>
  <si>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</si>
  <si>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</si>
  <si>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</si>
  <si>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</si>
  <si>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</si>
  <si>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</si>
  <si>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</si>
  <si>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</si>
  <si>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</si>
  <si>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</si>
  <si>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</si>
  <si>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</si>
  <si>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</si>
  <si>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</si>
  <si>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</si>
  <si>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</si>
  <si>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</si>
  <si>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</si>
  <si>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</si>
  <si>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</si>
  <si>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</si>
  <si>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</si>
  <si>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</si>
  <si>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</si>
  <si>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</si>
  <si>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</si>
  <si>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</si>
  <si>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</si>
  <si>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</si>
  <si>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</si>
  <si>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</si>
  <si>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</si>
  <si>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</si>
  <si>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</si>
  <si>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</si>
  <si>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</si>
  <si>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</si>
  <si>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</si>
  <si>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</si>
  <si>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</si>
  <si>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</si>
  <si>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</si>
  <si>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</si>
  <si>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</si>
  <si>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</si>
  <si>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</si>
  <si>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</si>
  <si>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</si>
  <si>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</si>
  <si>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</si>
  <si>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</si>
  <si>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</si>
  <si>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</si>
  <si>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</si>
  <si>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</si>
  <si>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</si>
  <si>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</si>
  <si>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</si>
  <si>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</si>
  <si>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</si>
  <si>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</si>
  <si>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</si>
  <si>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</si>
  <si>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</si>
  <si>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</si>
  <si>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</si>
  <si>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</si>
  <si>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</si>
  <si>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</si>
  <si>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</si>
  <si>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</si>
  <si>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</si>
  <si>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</si>
  <si>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</si>
  <si>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</si>
  <si>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</si>
  <si>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</si>
  <si>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</si>
  <si>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</si>
  <si>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</si>
  <si>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</si>
  <si>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</si>
  <si>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</si>
  <si>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</si>
  <si>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</si>
  <si>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</si>
  <si>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</si>
  <si>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</si>
  <si>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</si>
  <si>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</si>
  <si>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</si>
  <si>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</si>
  <si>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</si>
  <si>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</si>
  <si>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</si>
  <si>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</si>
  <si>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</si>
  <si>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</si>
  <si>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</si>
  <si>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</si>
  <si>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</si>
  <si>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</si>
  <si>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</si>
  <si>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</si>
  <si>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</si>
  <si>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</si>
  <si>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</si>
  <si>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</si>
  <si>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</si>
  <si>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</si>
  <si>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</si>
  <si>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</si>
  <si>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</si>
  <si>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</si>
  <si>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</si>
  <si>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</si>
  <si>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</si>
  <si>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</si>
  <si>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</si>
  <si>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</si>
  <si>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</si>
  <si>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</si>
  <si>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</si>
  <si>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</si>
  <si>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</si>
  <si>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</si>
  <si>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</si>
  <si>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</si>
  <si>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</si>
  <si>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</si>
  <si>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</si>
  <si>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</si>
  <si>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</si>
  <si>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</si>
  <si>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</si>
  <si>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</si>
  <si>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</si>
  <si>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</si>
  <si>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</si>
  <si>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</si>
  <si>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</si>
  <si>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</si>
  <si>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</si>
  <si>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</si>
  <si>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</si>
  <si>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</si>
  <si>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</si>
  <si>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</si>
  <si>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</si>
  <si>
    <t>Региональный проект "Патриотическое воспитание граждан Российской Федерации"</t>
  </si>
  <si>
    <t>3.5</t>
  </si>
  <si>
    <t>Обеспечение оснащения государственных и муниципальных общеобразовательных организаций, в том числе структурных подразделений указанных организаций, государственными символами Российской Федерации</t>
  </si>
  <si>
    <t>09WEВ57860</t>
  </si>
  <si>
    <t xml:space="preserve">Осуществление авторского надзороа </t>
  </si>
  <si>
    <t>10WA155195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</si>
  <si>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</si>
  <si>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</si>
  <si>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</si>
  <si>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01.08.2022</t>
  </si>
  <si>
    <t>***</t>
  </si>
  <si>
    <t xml:space="preserve">*** Бюджетные ассигнования за счёт средств федерального бюджета в сумме 302 282,9 тыс. рублей были предусмотрены в 2022 году в областном бюджете на приобретение школы на 1100 мест в мкр.Северный парк Томского района на основании соглашения, заключенного Томской областью с Минпросвещения России 24.12.2021. </t>
  </si>
  <si>
    <t xml:space="preserve">Фактически, в целях обеспечения начала учебного процесса раньше запланированных сроков, школа была приобретена в 2021 году за счёт выделения дополнительного объёма средств из областного бюджета.  14.06.2022 подписан акт сверки между Томской областью и Минпросвещения России на возмещение за счёт средств федерального бюджета расходов областного бюджета в сумме 302 282,9 тыс. рублей.  </t>
  </si>
  <si>
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42,7%, по региональному проекту "Современная школа" - 41,5 %.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</si>
</sst>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11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2B73FD53-2A1E-4975-B860-A22B2FABAC8C}" diskRevisions="1" revisionId="23" version="4">
  <header guid="{0A7BE660-998E-49C1-B879-65BFEE0A1BD5}" dateTime="2022-08-03T16:11:00" maxSheetId="3" userName="sgl" r:id="rId1">
    <sheetIdMap count="2">
      <sheetId val="1"/>
      <sheetId val="2"/>
    </sheetIdMap>
  </header>
  <header guid="{265A95F5-CC61-4EAF-B058-5D7E7F5136D4}" dateTime="2022-08-03T16:29:16" maxSheetId="3" userName="nma" r:id="rId2" minRId="1">
    <sheetIdMap count="2">
      <sheetId val="1"/>
      <sheetId val="2"/>
    </sheetIdMap>
  </header>
  <header guid="{C3EBB019-591E-46D1-8906-177ABD470092}" dateTime="2022-08-03T18:02:25" maxSheetId="3" userName="nma" r:id="rId3" minRId="7" maxRId="12">
    <sheetIdMap count="2">
      <sheetId val="1"/>
      <sheetId val="2"/>
    </sheetIdMap>
  </header>
  <header guid="{2B73FD53-2A1E-4975-B860-A22B2FABAC8C}" dateTime="2022-08-09T12:05:25" maxSheetId="3" userName="nma" r:id="rId4" minRId="18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8" sId="1" numFmtId="4">
    <oc r="M116">
      <v>5675.7</v>
    </oc>
    <nc r="M116">
      <v>4937.7</v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7" sId="1">
    <nc r="L79" t="inlineStr">
      <is>
        <t>***</t>
      </is>
    </nc>
  </rcc>
  <rcc rId="8" sId="1">
    <oc r="J79">
      <f>K79+L79+M79</f>
    </oc>
    <nc r="J79"/>
  </rcc>
  <rfmt sheetId="1" xfDxf="1" sqref="B206" start="0" length="0">
    <dxf>
      <font>
        <name val="PT Astra Serif"/>
        <scheme val="none"/>
      </font>
      <alignment vertical="center" readingOrder="0"/>
    </dxf>
  </rfmt>
  <rfmt sheetId="1" xfDxf="1" sqref="B207" start="0" length="0">
    <dxf>
      <font>
        <name val="PT Astra Serif"/>
        <scheme val="none"/>
      </font>
      <alignment vertical="center" readingOrder="0"/>
    </dxf>
  </rfmt>
  <rfmt sheetId="1" sqref="B206">
    <dxf>
      <alignment wrapText="1" readingOrder="0"/>
    </dxf>
  </rfmt>
  <rrc rId="9" sId="1" ref="A206:XFD206" action="deleteRow">
    <rfmt sheetId="1" xfDxf="1" sqref="A206:XFD206" start="0" length="0">
      <dxf>
        <font>
          <name val="PT Astra Serif"/>
          <scheme val="none"/>
        </font>
      </dxf>
    </rfmt>
    <rfmt sheetId="1" sqref="B206" start="0" length="0">
      <dxf>
        <alignment vertical="center" wrapText="1" readingOrder="0"/>
      </dxf>
    </rfmt>
    <rfmt sheetId="1" sqref="I206" start="0" length="0">
      <dxf>
        <fill>
          <patternFill patternType="solid">
            <bgColor theme="0"/>
          </patternFill>
        </fill>
      </dxf>
    </rfmt>
    <rfmt sheetId="1" sqref="K206" start="0" length="0">
      <dxf>
        <fill>
          <patternFill patternType="solid">
            <bgColor theme="0"/>
          </patternFill>
        </fill>
      </dxf>
    </rfmt>
    <rfmt sheetId="1" sqref="L206" start="0" length="0">
      <dxf>
        <fill>
          <patternFill patternType="solid">
            <bgColor theme="0"/>
          </patternFill>
        </fill>
      </dxf>
    </rfmt>
    <rfmt sheetId="1" sqref="M206" start="0" length="0">
      <dxf>
        <fill>
          <patternFill patternType="solid">
            <bgColor theme="0"/>
          </patternFill>
        </fill>
      </dxf>
    </rfmt>
    <rfmt sheetId="1" sqref="Q206" start="0" length="0">
      <dxf>
        <fill>
          <patternFill patternType="solid">
            <bgColor theme="0"/>
          </patternFill>
        </fill>
      </dxf>
    </rfmt>
    <rfmt sheetId="1" sqref="U206" start="0" length="0">
      <dxf>
        <fill>
          <patternFill patternType="solid">
            <bgColor theme="0"/>
          </patternFill>
        </fill>
      </dxf>
    </rfmt>
  </rrc>
  <rfmt sheetId="1" xfDxf="1" sqref="B206" start="0" length="0">
    <dxf>
      <font>
        <name val="PT Astra Serif"/>
        <scheme val="none"/>
      </font>
      <alignment vertical="center" readingOrder="0"/>
    </dxf>
  </rfmt>
  <rcc rId="10" sId="1">
    <nc r="B206" t="inlineStr">
      <is>
        <t xml:space="preserve">*** Бюджетные ассигнования за счёт средств федерального бюджета в сумме 302 282,9 тыс. рублей были предусмотрены в 2022 году в областном бюджете на приобретение школы на 1100 мест в мкр.Северный парк Томского района на основании соглашения, заключенного Томской областью с Минпросвещения России 24.12.2021. </t>
      </is>
    </nc>
  </rcc>
  <rfmt sheetId="1" xfDxf="1" sqref="B207" start="0" length="0">
    <dxf>
      <font>
        <name val="PT Astra Serif"/>
        <scheme val="none"/>
      </font>
      <alignment vertical="center" readingOrder="0"/>
    </dxf>
  </rfmt>
  <rcc rId="11" sId="1">
    <nc r="B207" t="inlineStr">
      <is>
        <t xml:space="preserve">Фактически, в целях обеспечения начала учебного процесса раньше запланированных сроков, школа была приобретена в 2021 году за счёт выделения дополнительного объёма средств из областного бюджета.  14.06.2022 подписан акт сверки между Томской областью и Минпросвещения России на возмещение за счёт средств федерального бюджета расходов областного бюджета в сумме 302 282,9 тыс. рублей.  </t>
      </is>
    </nc>
  </rcc>
  <rcc rId="12" sId="1" xfDxf="1" dxf="1">
    <nc r="B208" t="inlineStr">
      <is>
    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42,7%, по региональному проекту "Современная школа" - 41,5 %.</t>
      </is>
    </nc>
    <ndxf>
      <font>
        <name val="PT Astra Serif"/>
        <scheme val="none"/>
      </font>
      <alignment vertical="center" readingOrder="0"/>
    </ndxf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1" sId="1" numFmtId="4">
    <oc r="L116">
      <v>79868.800000000003</v>
    </oc>
    <nc r="L116">
      <v>79868.7</v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</rdn>
  <rdn rId="0" localSheetId="2" customView="1" name="Z_FE09AB06_1ECE_4486_BCA1_E9D85830708B_.wvu.Cols" hidden="1" oldHidden="1">
    <formula>Лист2!$F:$G</formula>
  </rdn>
  <rcv guid="{FE09AB06-1ECE-4486-BCA1-E9D85830708B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3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15" sqref="J15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7.4257812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05" t="s">
        <v>366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7" ht="37.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</row>
    <row r="3" spans="1:27">
      <c r="E3" s="6"/>
      <c r="G3" s="7"/>
      <c r="K3" s="7"/>
      <c r="T3" s="1"/>
      <c r="U3" s="1" t="s">
        <v>197</v>
      </c>
    </row>
    <row r="4" spans="1:27" ht="16.5" customHeight="1">
      <c r="A4" s="106" t="s">
        <v>0</v>
      </c>
      <c r="B4" s="109" t="s">
        <v>1</v>
      </c>
      <c r="C4" s="106" t="s">
        <v>2</v>
      </c>
      <c r="D4" s="106" t="s">
        <v>3</v>
      </c>
      <c r="E4" s="106" t="s">
        <v>4</v>
      </c>
      <c r="F4" s="117" t="s">
        <v>195</v>
      </c>
      <c r="G4" s="118"/>
      <c r="H4" s="118"/>
      <c r="I4" s="119"/>
      <c r="J4" s="117" t="s">
        <v>195</v>
      </c>
      <c r="K4" s="118"/>
      <c r="L4" s="118"/>
      <c r="M4" s="119"/>
      <c r="N4" s="117" t="s">
        <v>196</v>
      </c>
      <c r="O4" s="118"/>
      <c r="P4" s="118"/>
      <c r="Q4" s="119"/>
      <c r="R4" s="120" t="s">
        <v>254</v>
      </c>
      <c r="S4" s="120"/>
      <c r="T4" s="120"/>
      <c r="U4" s="120"/>
      <c r="V4" s="122" t="s">
        <v>234</v>
      </c>
    </row>
    <row r="5" spans="1:27" ht="16.5" customHeight="1">
      <c r="A5" s="107"/>
      <c r="B5" s="110"/>
      <c r="C5" s="107"/>
      <c r="D5" s="107"/>
      <c r="E5" s="112"/>
      <c r="F5" s="114" t="s">
        <v>232</v>
      </c>
      <c r="G5" s="115"/>
      <c r="H5" s="115"/>
      <c r="I5" s="116"/>
      <c r="J5" s="114" t="s">
        <v>5</v>
      </c>
      <c r="K5" s="115"/>
      <c r="L5" s="115"/>
      <c r="M5" s="116"/>
      <c r="N5" s="114" t="s">
        <v>232</v>
      </c>
      <c r="O5" s="115"/>
      <c r="P5" s="115"/>
      <c r="Q5" s="116"/>
      <c r="R5" s="121" t="s">
        <v>232</v>
      </c>
      <c r="S5" s="121"/>
      <c r="T5" s="121"/>
      <c r="U5" s="121"/>
      <c r="V5" s="123"/>
    </row>
    <row r="6" spans="1:27" ht="82.5">
      <c r="A6" s="108"/>
      <c r="B6" s="111"/>
      <c r="C6" s="108"/>
      <c r="D6" s="108"/>
      <c r="E6" s="113"/>
      <c r="F6" s="9" t="s">
        <v>6</v>
      </c>
      <c r="G6" s="10" t="s">
        <v>7</v>
      </c>
      <c r="H6" s="10" t="s">
        <v>8</v>
      </c>
      <c r="I6" s="10" t="s">
        <v>233</v>
      </c>
      <c r="J6" s="9" t="s">
        <v>6</v>
      </c>
      <c r="K6" s="10" t="s">
        <v>7</v>
      </c>
      <c r="L6" s="10" t="s">
        <v>8</v>
      </c>
      <c r="M6" s="10" t="s">
        <v>233</v>
      </c>
      <c r="N6" s="9" t="s">
        <v>6</v>
      </c>
      <c r="O6" s="10" t="s">
        <v>7</v>
      </c>
      <c r="P6" s="10" t="s">
        <v>8</v>
      </c>
      <c r="Q6" s="10" t="s">
        <v>231</v>
      </c>
      <c r="R6" s="9" t="s">
        <v>6</v>
      </c>
      <c r="S6" s="10" t="s">
        <v>7</v>
      </c>
      <c r="T6" s="10" t="s">
        <v>8</v>
      </c>
      <c r="U6" s="10" t="s">
        <v>231</v>
      </c>
      <c r="V6" s="124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18935168.800000001</v>
      </c>
      <c r="G8" s="16">
        <f>G9+G36+G65+G103+G112+G127+G139+G156+G176+G194+G199</f>
        <v>6367599</v>
      </c>
      <c r="H8" s="16">
        <f>H9+H36+H65+H103+H112+H127+H139+H156+H176+H194+H199</f>
        <v>12027534.4</v>
      </c>
      <c r="I8" s="16">
        <f>I9+I36+I65+I103+I112+I127+I139+I156+I176+I194+I199</f>
        <v>540035.4</v>
      </c>
      <c r="J8" s="16">
        <f>K8+L8+M8</f>
        <v>5531273.5</v>
      </c>
      <c r="K8" s="16">
        <f>K9+K36+K65+K103+K112+K127+K139+K156+K176+K194+K199</f>
        <v>1853120.6</v>
      </c>
      <c r="L8" s="16">
        <f>L9+L36+L65+L103+L112+L127+L139+L156+L176+L194+L199</f>
        <v>3411794.3</v>
      </c>
      <c r="M8" s="16">
        <f>M9+M36+M65+M103+M112+M127+M139+M156+M176+M194+M199</f>
        <v>266358.59999999998</v>
      </c>
      <c r="N8" s="16">
        <f>O8+P8+Q8</f>
        <v>14439080.199999999</v>
      </c>
      <c r="O8" s="16">
        <f>O9+O36+O65+O103+O112+O127+O139+O156+O176+O194+O199</f>
        <v>4631783.2</v>
      </c>
      <c r="P8" s="16">
        <f>P9+P36+P65+P103+P112+P127+P139+P156+P176+P194+P199</f>
        <v>9660972.0999999996</v>
      </c>
      <c r="Q8" s="16">
        <f>Q9+Q36+Q65+Q103+Q112+Q127+Q139+Q156+Q176+Q194+Q199</f>
        <v>146324.9</v>
      </c>
      <c r="R8" s="16">
        <f>S8+T8+U8</f>
        <v>15503486.300000001</v>
      </c>
      <c r="S8" s="16">
        <f>S9+S36+S65+S103+S112+S127+S139+S156+S176+S194+S199</f>
        <v>4699081.2</v>
      </c>
      <c r="T8" s="16">
        <f>T9+T36+T65+T103+T112+T127+T139+T156+T176+T194+T199</f>
        <v>10669047.300000001</v>
      </c>
      <c r="U8" s="16">
        <f>U9+U36+U65+U103+U112+U127+U139+U156+U176+U194+U199</f>
        <v>135357.79999999999</v>
      </c>
      <c r="V8" s="17">
        <f>J8/F8</f>
        <v>0.29199999999999998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40" si="0">G9+H9+I9</f>
        <v>2713031.6</v>
      </c>
      <c r="G9" s="22">
        <f>G10+G16+G25+G31</f>
        <v>562818</v>
      </c>
      <c r="H9" s="22">
        <f>H10+H16+H25+H31</f>
        <v>2056478.9</v>
      </c>
      <c r="I9" s="22">
        <f>I10+I16+I25+I31</f>
        <v>93734.7</v>
      </c>
      <c r="J9" s="22">
        <f t="shared" ref="J9:J10" si="1">K9+L9+M9</f>
        <v>1482589</v>
      </c>
      <c r="K9" s="22">
        <f>K10+K16+K25+K31</f>
        <v>309711.5</v>
      </c>
      <c r="L9" s="22">
        <f>L10+L16+L25+L31</f>
        <v>1109151.6000000001</v>
      </c>
      <c r="M9" s="22">
        <f>M10+M16+M25+M31</f>
        <v>63725.9</v>
      </c>
      <c r="N9" s="22">
        <f t="shared" ref="N9:N10" si="2">O9+P9+Q9</f>
        <v>2239111.6</v>
      </c>
      <c r="O9" s="22">
        <f>O10+O16+O25+O31</f>
        <v>212421.8</v>
      </c>
      <c r="P9" s="22">
        <f>P10+P16+P25+P31</f>
        <v>2013499.5</v>
      </c>
      <c r="Q9" s="22">
        <f>Q10+Q16+Q25+Q31</f>
        <v>13190.3</v>
      </c>
      <c r="R9" s="22">
        <f t="shared" ref="R9:R10" si="3">S9+T9+U9</f>
        <v>2324765</v>
      </c>
      <c r="S9" s="22">
        <f>S10+S16+S25+S31</f>
        <v>218134</v>
      </c>
      <c r="T9" s="22">
        <f>T10+T16+T25+T31</f>
        <v>2094560</v>
      </c>
      <c r="U9" s="22">
        <f>U10+U16+U25+U31</f>
        <v>12071</v>
      </c>
      <c r="V9" s="23">
        <f t="shared" ref="V9:V40" si="4">J9/F9</f>
        <v>0.54600000000000004</v>
      </c>
      <c r="X9" s="97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189.4</v>
      </c>
      <c r="G10" s="28">
        <f>SUM(G12:G15)</f>
        <v>0</v>
      </c>
      <c r="H10" s="28">
        <f>SUM(H12:H15)</f>
        <v>189.4</v>
      </c>
      <c r="I10" s="28">
        <f>SUM(I12:I15)</f>
        <v>0</v>
      </c>
      <c r="J10" s="28">
        <f t="shared" si="1"/>
        <v>188.8</v>
      </c>
      <c r="K10" s="28">
        <f>SUM(K12:K15)</f>
        <v>0</v>
      </c>
      <c r="L10" s="28">
        <f>SUM(L12:L15)</f>
        <v>188.8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0.997</v>
      </c>
      <c r="X10" s="97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213</v>
      </c>
      <c r="C12" s="35">
        <v>821</v>
      </c>
      <c r="D12" s="36" t="s">
        <v>19</v>
      </c>
      <c r="E12" s="35" t="s">
        <v>255</v>
      </c>
      <c r="F12" s="28">
        <f>G12+H12+I12</f>
        <v>0</v>
      </c>
      <c r="G12" s="33">
        <f>66370-66370</f>
        <v>0</v>
      </c>
      <c r="H12" s="33"/>
      <c r="I12" s="33"/>
      <c r="J12" s="28">
        <f>K12+L12+M12</f>
        <v>0</v>
      </c>
      <c r="K12" s="33"/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 t="e">
        <f t="shared" si="4"/>
        <v>#DIV/0!</v>
      </c>
      <c r="X12" s="18"/>
      <c r="Y12" s="18"/>
      <c r="Z12" s="18"/>
    </row>
    <row r="13" spans="1:27" ht="72" customHeight="1">
      <c r="A13" s="24"/>
      <c r="B13" s="41" t="s">
        <v>236</v>
      </c>
      <c r="C13" s="35">
        <v>821</v>
      </c>
      <c r="D13" s="36" t="s">
        <v>19</v>
      </c>
      <c r="E13" s="35" t="s">
        <v>336</v>
      </c>
      <c r="F13" s="28">
        <f t="shared" ref="F13:F15" si="5">G13+H13+I13</f>
        <v>0</v>
      </c>
      <c r="G13" s="33">
        <f>5255-5255</f>
        <v>0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 t="e">
        <f t="shared" si="4"/>
        <v>#DIV/0!</v>
      </c>
      <c r="X13" s="18"/>
      <c r="Y13" s="18"/>
    </row>
    <row r="14" spans="1:27" ht="70.5" customHeight="1">
      <c r="A14" s="24"/>
      <c r="B14" s="41" t="s">
        <v>256</v>
      </c>
      <c r="C14" s="35">
        <v>821</v>
      </c>
      <c r="D14" s="36" t="s">
        <v>19</v>
      </c>
      <c r="E14" s="35" t="s">
        <v>154</v>
      </c>
      <c r="F14" s="28">
        <f t="shared" si="5"/>
        <v>0</v>
      </c>
      <c r="G14" s="33">
        <f>375.2-375.2</f>
        <v>0</v>
      </c>
      <c r="H14" s="33"/>
      <c r="I14" s="33"/>
      <c r="J14" s="28">
        <f t="shared" si="6"/>
        <v>0</v>
      </c>
      <c r="K14" s="33"/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 t="e">
        <f t="shared" ref="V14" si="9">J14/F14</f>
        <v>#DIV/0!</v>
      </c>
      <c r="X14" s="18"/>
      <c r="Y14" s="18"/>
    </row>
    <row r="15" spans="1:27" ht="74.25" customHeight="1">
      <c r="A15" s="24"/>
      <c r="B15" s="41" t="s">
        <v>18</v>
      </c>
      <c r="C15" s="35" t="s">
        <v>257</v>
      </c>
      <c r="D15" s="36" t="s">
        <v>17</v>
      </c>
      <c r="E15" s="35" t="s">
        <v>182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188.8</v>
      </c>
      <c r="K15" s="33"/>
      <c r="L15" s="33">
        <v>188.8</v>
      </c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0.997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234445</v>
      </c>
      <c r="G16" s="28">
        <f>SUM(G18:G24)</f>
        <v>116085.8</v>
      </c>
      <c r="H16" s="28">
        <f>SUM(H18:H24)</f>
        <v>102014.39999999999</v>
      </c>
      <c r="I16" s="28">
        <f>SUM(I18:I24)</f>
        <v>16344.8</v>
      </c>
      <c r="J16" s="28">
        <f t="shared" ref="J16" si="10">K16+L16+M16</f>
        <v>148120.20000000001</v>
      </c>
      <c r="K16" s="28">
        <f>SUM(K18:K24)</f>
        <v>76543.600000000006</v>
      </c>
      <c r="L16" s="28">
        <f>SUM(L18:L24)</f>
        <v>60455.3</v>
      </c>
      <c r="M16" s="28">
        <f>SUM(M18:M24)</f>
        <v>11121.3</v>
      </c>
      <c r="N16" s="27">
        <f t="shared" ref="N16" si="11">O16+P16+Q16</f>
        <v>147253</v>
      </c>
      <c r="O16" s="28">
        <f>SUM(O18:O24)</f>
        <v>104919.6</v>
      </c>
      <c r="P16" s="28">
        <f>SUM(P18:P24)</f>
        <v>29143.1</v>
      </c>
      <c r="Q16" s="28">
        <f>SUM(Q18:Q24)</f>
        <v>13190.3</v>
      </c>
      <c r="R16" s="27">
        <f t="shared" ref="R16" si="12">S16+T16+U16</f>
        <v>140774.79999999999</v>
      </c>
      <c r="S16" s="28">
        <f>SUM(S18:S24)</f>
        <v>104733.9</v>
      </c>
      <c r="T16" s="28">
        <f>SUM(T18:T24)</f>
        <v>23969.9</v>
      </c>
      <c r="U16" s="28">
        <f>SUM(U18:U24)</f>
        <v>12071</v>
      </c>
      <c r="V16" s="38">
        <f t="shared" si="4"/>
        <v>0.63200000000000001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169</v>
      </c>
      <c r="F18" s="28">
        <f>G18+H18+I18</f>
        <v>10399.6</v>
      </c>
      <c r="G18" s="33">
        <v>9000</v>
      </c>
      <c r="H18" s="33"/>
      <c r="I18" s="33">
        <v>1399.6</v>
      </c>
      <c r="J18" s="27">
        <f t="shared" ref="J18:J25" si="13">K18+L18+M18</f>
        <v>10260.1</v>
      </c>
      <c r="K18" s="33">
        <f>1500+3600+1200+2700</f>
        <v>9000</v>
      </c>
      <c r="L18" s="33"/>
      <c r="M18" s="33">
        <v>1260.0999999999999</v>
      </c>
      <c r="N18" s="27">
        <f t="shared" ref="N18:N25" si="14">O18+P18+Q18</f>
        <v>9689</v>
      </c>
      <c r="O18" s="33">
        <v>9000</v>
      </c>
      <c r="P18" s="33"/>
      <c r="Q18" s="33">
        <v>689</v>
      </c>
      <c r="R18" s="27">
        <f t="shared" ref="R18:R25" si="15">S18+T18+U18</f>
        <v>9629</v>
      </c>
      <c r="S18" s="33">
        <v>9000</v>
      </c>
      <c r="T18" s="33"/>
      <c r="U18" s="94">
        <v>629</v>
      </c>
      <c r="V18" s="34">
        <f t="shared" si="4"/>
        <v>0.98699999999999999</v>
      </c>
    </row>
    <row r="19" spans="1:22" ht="78.75" customHeight="1">
      <c r="A19" s="39"/>
      <c r="B19" s="41" t="s">
        <v>167</v>
      </c>
      <c r="C19" s="35">
        <v>813</v>
      </c>
      <c r="D19" s="36" t="s">
        <v>24</v>
      </c>
      <c r="E19" s="35" t="s">
        <v>166</v>
      </c>
      <c r="F19" s="28">
        <f t="shared" si="0"/>
        <v>13078.7</v>
      </c>
      <c r="G19" s="33">
        <f>30000-17583.3</f>
        <v>12416.7</v>
      </c>
      <c r="H19" s="33"/>
      <c r="I19" s="95">
        <v>662</v>
      </c>
      <c r="J19" s="27">
        <f t="shared" si="13"/>
        <v>12614.2</v>
      </c>
      <c r="K19" s="33">
        <f>2113.4+6146.6+4156.7</f>
        <v>12416.7</v>
      </c>
      <c r="L19" s="33"/>
      <c r="M19" s="33">
        <v>197.5</v>
      </c>
      <c r="N19" s="27">
        <f t="shared" si="14"/>
        <v>10621.6</v>
      </c>
      <c r="O19" s="33">
        <v>10000</v>
      </c>
      <c r="P19" s="33"/>
      <c r="Q19" s="33">
        <v>621.6</v>
      </c>
      <c r="R19" s="27">
        <f t="shared" si="15"/>
        <v>10620.7</v>
      </c>
      <c r="S19" s="33">
        <v>10000</v>
      </c>
      <c r="T19" s="33"/>
      <c r="U19" s="33">
        <v>620.70000000000005</v>
      </c>
      <c r="V19" s="34">
        <f t="shared" si="4"/>
        <v>0.96399999999999997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168</v>
      </c>
      <c r="F20" s="28">
        <f t="shared" si="0"/>
        <v>99657</v>
      </c>
      <c r="G20" s="33">
        <v>86353.2</v>
      </c>
      <c r="H20" s="33"/>
      <c r="I20" s="33">
        <v>13303.8</v>
      </c>
      <c r="J20" s="27">
        <f t="shared" si="13"/>
        <v>58995.7</v>
      </c>
      <c r="K20" s="33">
        <v>49936.6</v>
      </c>
      <c r="L20" s="33"/>
      <c r="M20" s="33">
        <v>9059.1</v>
      </c>
      <c r="N20" s="27">
        <f t="shared" si="14"/>
        <v>93812.800000000003</v>
      </c>
      <c r="O20" s="33">
        <v>82177.2</v>
      </c>
      <c r="P20" s="33"/>
      <c r="Q20" s="33">
        <v>11635.6</v>
      </c>
      <c r="R20" s="27">
        <f t="shared" si="15"/>
        <v>92737.2</v>
      </c>
      <c r="S20" s="33">
        <v>82177.2</v>
      </c>
      <c r="T20" s="33"/>
      <c r="U20" s="33">
        <v>10560</v>
      </c>
      <c r="V20" s="34">
        <f t="shared" si="4"/>
        <v>0.59199999999999997</v>
      </c>
    </row>
    <row r="21" spans="1:22" ht="89.25" customHeight="1">
      <c r="A21" s="39"/>
      <c r="B21" s="41" t="s">
        <v>125</v>
      </c>
      <c r="C21" s="35">
        <v>813</v>
      </c>
      <c r="D21" s="36" t="s">
        <v>24</v>
      </c>
      <c r="E21" s="35" t="s">
        <v>126</v>
      </c>
      <c r="F21" s="28">
        <f t="shared" si="0"/>
        <v>8371.2999999999993</v>
      </c>
      <c r="G21" s="33">
        <v>3000</v>
      </c>
      <c r="H21" s="33">
        <v>5137.7</v>
      </c>
      <c r="I21" s="33">
        <v>233.6</v>
      </c>
      <c r="J21" s="27">
        <f t="shared" si="13"/>
        <v>3045.8</v>
      </c>
      <c r="K21" s="33">
        <v>1095.5999999999999</v>
      </c>
      <c r="L21" s="33">
        <v>1876.3</v>
      </c>
      <c r="M21" s="33">
        <v>73.900000000000006</v>
      </c>
      <c r="N21" s="27">
        <f t="shared" si="14"/>
        <v>8381.7999999999993</v>
      </c>
      <c r="O21" s="33">
        <v>3000</v>
      </c>
      <c r="P21" s="33">
        <v>5137.7</v>
      </c>
      <c r="Q21" s="33">
        <v>244.1</v>
      </c>
      <c r="R21" s="27">
        <f t="shared" si="15"/>
        <v>9231.2000000000007</v>
      </c>
      <c r="S21" s="33">
        <v>3000</v>
      </c>
      <c r="T21" s="33">
        <v>5969.9</v>
      </c>
      <c r="U21" s="33">
        <v>261.3</v>
      </c>
      <c r="V21" s="34">
        <f t="shared" si="4"/>
        <v>0.36399999999999999</v>
      </c>
    </row>
    <row r="22" spans="1:22" ht="75.75" customHeight="1">
      <c r="A22" s="39"/>
      <c r="B22" s="41" t="s">
        <v>127</v>
      </c>
      <c r="C22" s="35" t="s">
        <v>258</v>
      </c>
      <c r="D22" s="36" t="s">
        <v>19</v>
      </c>
      <c r="E22" s="35" t="s">
        <v>128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38134.800000000003</v>
      </c>
      <c r="K22" s="33">
        <v>1137.7</v>
      </c>
      <c r="L22" s="33">
        <v>36785</v>
      </c>
      <c r="M22" s="33">
        <v>212.1</v>
      </c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0.505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129</v>
      </c>
      <c r="F23" s="28">
        <f t="shared" si="0"/>
        <v>8845.7000000000007</v>
      </c>
      <c r="G23" s="33">
        <v>2505.6999999999998</v>
      </c>
      <c r="H23" s="33">
        <v>6014.3</v>
      </c>
      <c r="I23" s="33">
        <v>325.7</v>
      </c>
      <c r="J23" s="27">
        <f t="shared" si="13"/>
        <v>8703.6</v>
      </c>
      <c r="K23" s="33">
        <v>2466</v>
      </c>
      <c r="L23" s="33">
        <v>5919</v>
      </c>
      <c r="M23" s="33">
        <v>318.60000000000002</v>
      </c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0.98399999999999999</v>
      </c>
    </row>
    <row r="24" spans="1:22" ht="57.75" customHeight="1">
      <c r="A24" s="39"/>
      <c r="B24" s="41" t="s">
        <v>130</v>
      </c>
      <c r="C24" s="35">
        <v>813</v>
      </c>
      <c r="D24" s="36" t="s">
        <v>24</v>
      </c>
      <c r="E24" s="35" t="s">
        <v>131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16366</v>
      </c>
      <c r="K24" s="33">
        <v>491</v>
      </c>
      <c r="L24" s="33">
        <v>15875</v>
      </c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0.88200000000000001</v>
      </c>
    </row>
    <row r="25" spans="1:22" ht="42" customHeight="1">
      <c r="A25" s="11" t="s">
        <v>27</v>
      </c>
      <c r="B25" s="48" t="s">
        <v>229</v>
      </c>
      <c r="C25" s="26" t="s">
        <v>12</v>
      </c>
      <c r="D25" s="26" t="s">
        <v>12</v>
      </c>
      <c r="E25" s="26" t="s">
        <v>12</v>
      </c>
      <c r="F25" s="28">
        <f t="shared" si="0"/>
        <v>357099.5</v>
      </c>
      <c r="G25" s="28">
        <f>SUM(G27:G30)</f>
        <v>158511.79999999999</v>
      </c>
      <c r="H25" s="28">
        <f>SUM(H27:H30)</f>
        <v>121197.8</v>
      </c>
      <c r="I25" s="28">
        <f>SUM(I27:I30)</f>
        <v>77389.899999999994</v>
      </c>
      <c r="J25" s="28">
        <f t="shared" si="13"/>
        <v>250891.5</v>
      </c>
      <c r="K25" s="28">
        <f>SUM(K27:K30)</f>
        <v>98703.4</v>
      </c>
      <c r="L25" s="28">
        <f>SUM(L27:L30)</f>
        <v>99583.5</v>
      </c>
      <c r="M25" s="28">
        <f>SUM(M27:M30)</f>
        <v>52604.6</v>
      </c>
      <c r="N25" s="27">
        <f t="shared" si="14"/>
        <v>9202.1</v>
      </c>
      <c r="O25" s="28">
        <f>SUM(O27:O30)</f>
        <v>276.2</v>
      </c>
      <c r="P25" s="28">
        <f>SUM(P27:P30)</f>
        <v>8925.9</v>
      </c>
      <c r="Q25" s="28">
        <f>SUM(Q27:Q30)</f>
        <v>0</v>
      </c>
      <c r="R25" s="27">
        <f t="shared" si="15"/>
        <v>5500.1</v>
      </c>
      <c r="S25" s="28">
        <f>SUM(S27:S30)</f>
        <v>165.1</v>
      </c>
      <c r="T25" s="28">
        <f>SUM(T27:T30)</f>
        <v>5335</v>
      </c>
      <c r="U25" s="28">
        <f>SUM(U27:U30)</f>
        <v>0</v>
      </c>
      <c r="V25" s="29">
        <f t="shared" si="4"/>
        <v>0.70299999999999996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99"/>
      <c r="B27" s="100" t="s">
        <v>112</v>
      </c>
      <c r="C27" s="101" t="s">
        <v>259</v>
      </c>
      <c r="D27" s="102" t="s">
        <v>16</v>
      </c>
      <c r="E27" s="35" t="s">
        <v>204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31" si="16">K27+L27+M27</f>
        <v>423.2</v>
      </c>
      <c r="K27" s="33">
        <v>12.7</v>
      </c>
      <c r="L27" s="33">
        <v>410.5</v>
      </c>
      <c r="M27" s="33"/>
      <c r="N27" s="27">
        <f t="shared" ref="N27:N31" si="17">O27+P27+Q27</f>
        <v>5500.1</v>
      </c>
      <c r="O27" s="33">
        <v>165.1</v>
      </c>
      <c r="P27" s="33">
        <v>5335</v>
      </c>
      <c r="Q27" s="33"/>
      <c r="R27" s="27">
        <f t="shared" ref="R27:R31" si="18">S27+T27+U27</f>
        <v>5500.1</v>
      </c>
      <c r="S27" s="33">
        <v>165.1</v>
      </c>
      <c r="T27" s="33">
        <v>5335</v>
      </c>
      <c r="U27" s="33"/>
      <c r="V27" s="34">
        <f t="shared" si="4"/>
        <v>4.2000000000000003E-2</v>
      </c>
    </row>
    <row r="28" spans="1:22" ht="87" customHeight="1">
      <c r="A28" s="24"/>
      <c r="B28" s="103" t="s">
        <v>354</v>
      </c>
      <c r="C28" s="35" t="s">
        <v>258</v>
      </c>
      <c r="D28" s="36" t="s">
        <v>19</v>
      </c>
      <c r="E28" s="35" t="s">
        <v>352</v>
      </c>
      <c r="F28" s="28">
        <f t="shared" ref="F28:F29" si="19">G28+H28+I28</f>
        <v>115061.3</v>
      </c>
      <c r="G28" s="33">
        <v>3448.4</v>
      </c>
      <c r="H28" s="33">
        <v>111497.8</v>
      </c>
      <c r="I28" s="53">
        <v>115.1</v>
      </c>
      <c r="J28" s="28">
        <f t="shared" ref="J28:J29" si="20">K28+L28+M28</f>
        <v>102342.39999999999</v>
      </c>
      <c r="K28" s="33">
        <v>3067.2</v>
      </c>
      <c r="L28" s="33">
        <v>99173</v>
      </c>
      <c r="M28" s="33">
        <v>102.2</v>
      </c>
      <c r="N28" s="27">
        <f t="shared" ref="N28:N29" si="21">O28+P28+Q28</f>
        <v>0</v>
      </c>
      <c r="O28" s="33"/>
      <c r="P28" s="33"/>
      <c r="Q28" s="33"/>
      <c r="R28" s="27">
        <f t="shared" ref="R28:R29" si="22">S28+T28+U28</f>
        <v>0</v>
      </c>
      <c r="S28" s="33"/>
      <c r="T28" s="33"/>
      <c r="U28" s="33"/>
      <c r="V28" s="34">
        <f t="shared" ref="V28:V29" si="23">J28/F28</f>
        <v>0.88900000000000001</v>
      </c>
    </row>
    <row r="29" spans="1:22" ht="90" customHeight="1">
      <c r="A29" s="24"/>
      <c r="B29" s="103" t="s">
        <v>354</v>
      </c>
      <c r="C29" s="35" t="s">
        <v>258</v>
      </c>
      <c r="D29" s="36" t="s">
        <v>19</v>
      </c>
      <c r="E29" s="35" t="s">
        <v>353</v>
      </c>
      <c r="F29" s="28">
        <f t="shared" si="19"/>
        <v>232038.2</v>
      </c>
      <c r="G29" s="33">
        <v>154763.4</v>
      </c>
      <c r="H29" s="33"/>
      <c r="I29" s="53">
        <v>77274.8</v>
      </c>
      <c r="J29" s="28">
        <f t="shared" si="20"/>
        <v>148125.9</v>
      </c>
      <c r="K29" s="33">
        <v>95623.5</v>
      </c>
      <c r="L29" s="33"/>
      <c r="M29" s="33">
        <v>52502.400000000001</v>
      </c>
      <c r="N29" s="27">
        <f t="shared" si="21"/>
        <v>0</v>
      </c>
      <c r="O29" s="33"/>
      <c r="P29" s="33"/>
      <c r="Q29" s="33"/>
      <c r="R29" s="27">
        <f t="shared" si="22"/>
        <v>0</v>
      </c>
      <c r="S29" s="33"/>
      <c r="T29" s="33"/>
      <c r="U29" s="33"/>
      <c r="V29" s="34">
        <f t="shared" si="23"/>
        <v>0.63800000000000001</v>
      </c>
    </row>
    <row r="30" spans="1:22" ht="160.5" customHeight="1">
      <c r="A30" s="24"/>
      <c r="B30" s="89" t="s">
        <v>143</v>
      </c>
      <c r="C30" s="35">
        <v>815</v>
      </c>
      <c r="D30" s="36" t="s">
        <v>48</v>
      </c>
      <c r="E30" s="35" t="s">
        <v>144</v>
      </c>
      <c r="F30" s="28">
        <f t="shared" ref="F30" si="24">G30+H30+I30</f>
        <v>0</v>
      </c>
      <c r="G30" s="33"/>
      <c r="H30" s="33"/>
      <c r="I30" s="33"/>
      <c r="J30" s="28">
        <f t="shared" ref="J30" si="25">K30+L30+M30</f>
        <v>0</v>
      </c>
      <c r="K30" s="33"/>
      <c r="L30" s="33"/>
      <c r="M30" s="33"/>
      <c r="N30" s="27">
        <f t="shared" ref="N30" si="26">O30+P30+Q30</f>
        <v>3702</v>
      </c>
      <c r="O30" s="33">
        <v>111.06</v>
      </c>
      <c r="P30" s="33">
        <v>3590.9</v>
      </c>
      <c r="Q30" s="33"/>
      <c r="R30" s="27">
        <f t="shared" ref="R30" si="27">S30+T30+U30</f>
        <v>0</v>
      </c>
      <c r="S30" s="33">
        <v>0</v>
      </c>
      <c r="T30" s="33">
        <v>0</v>
      </c>
      <c r="U30" s="33"/>
      <c r="V30" s="34" t="e">
        <f t="shared" si="4"/>
        <v>#DIV/0!</v>
      </c>
    </row>
    <row r="31" spans="1:22" ht="33">
      <c r="A31" s="11" t="s">
        <v>28</v>
      </c>
      <c r="B31" s="48" t="s">
        <v>29</v>
      </c>
      <c r="C31" s="26" t="s">
        <v>12</v>
      </c>
      <c r="D31" s="26" t="s">
        <v>12</v>
      </c>
      <c r="E31" s="26" t="s">
        <v>12</v>
      </c>
      <c r="F31" s="28">
        <f t="shared" si="0"/>
        <v>2121297.7000000002</v>
      </c>
      <c r="G31" s="28">
        <f>SUM(G33:G35)</f>
        <v>288220.40000000002</v>
      </c>
      <c r="H31" s="28">
        <f>SUM(H33:H35)</f>
        <v>1833077.3</v>
      </c>
      <c r="I31" s="28">
        <f>SUM(I33:I35)</f>
        <v>0</v>
      </c>
      <c r="J31" s="28">
        <f t="shared" si="16"/>
        <v>1083388.5</v>
      </c>
      <c r="K31" s="28">
        <f>SUM(K33:K35)</f>
        <v>134464.5</v>
      </c>
      <c r="L31" s="28">
        <f>SUM(L33:L35)</f>
        <v>948924</v>
      </c>
      <c r="M31" s="28">
        <f>SUM(M33:M35)</f>
        <v>0</v>
      </c>
      <c r="N31" s="27">
        <f t="shared" si="17"/>
        <v>2082467.1</v>
      </c>
      <c r="O31" s="28">
        <f>SUM(O33:O35)</f>
        <v>107226</v>
      </c>
      <c r="P31" s="28">
        <f>SUM(P33:P35)</f>
        <v>1975241.1</v>
      </c>
      <c r="Q31" s="28">
        <f>SUM(Q33:Q35)</f>
        <v>0</v>
      </c>
      <c r="R31" s="27">
        <f t="shared" si="18"/>
        <v>2178279.7000000002</v>
      </c>
      <c r="S31" s="28">
        <f>SUM(S33:S35)</f>
        <v>113235</v>
      </c>
      <c r="T31" s="28">
        <f>SUM(T33:T35)</f>
        <v>2065044.7</v>
      </c>
      <c r="U31" s="28">
        <f>SUM(U33:U35)</f>
        <v>0</v>
      </c>
      <c r="V31" s="29">
        <f t="shared" si="4"/>
        <v>0.51100000000000001</v>
      </c>
    </row>
    <row r="32" spans="1:22" ht="18.75">
      <c r="A32" s="24"/>
      <c r="B32" s="40" t="s">
        <v>15</v>
      </c>
      <c r="C32" s="32"/>
      <c r="D32" s="42"/>
      <c r="E32" s="32"/>
      <c r="F32" s="28"/>
      <c r="G32" s="28"/>
      <c r="H32" s="28"/>
      <c r="I32" s="28"/>
      <c r="J32" s="28"/>
      <c r="K32" s="28"/>
      <c r="L32" s="28"/>
      <c r="M32" s="28"/>
      <c r="N32" s="27"/>
      <c r="O32" s="28"/>
      <c r="P32" s="28"/>
      <c r="Q32" s="28"/>
      <c r="R32" s="27"/>
      <c r="S32" s="28"/>
      <c r="T32" s="28"/>
      <c r="U32" s="28"/>
      <c r="V32" s="29"/>
    </row>
    <row r="33" spans="1:101" ht="73.5" customHeight="1">
      <c r="A33" s="24"/>
      <c r="B33" s="41" t="s">
        <v>31</v>
      </c>
      <c r="C33" s="35">
        <v>809</v>
      </c>
      <c r="D33" s="36" t="s">
        <v>20</v>
      </c>
      <c r="E33" s="35" t="s">
        <v>152</v>
      </c>
      <c r="F33" s="28">
        <f>G33+H33+I33</f>
        <v>742371</v>
      </c>
      <c r="G33" s="33">
        <v>96508.2</v>
      </c>
      <c r="H33" s="33">
        <v>645862.80000000005</v>
      </c>
      <c r="I33" s="33"/>
      <c r="J33" s="28">
        <f t="shared" ref="J33:J34" si="28">K33+L33+M33</f>
        <v>301356</v>
      </c>
      <c r="K33" s="33">
        <v>39176.300000000003</v>
      </c>
      <c r="L33" s="33">
        <v>262179.7</v>
      </c>
      <c r="M33" s="33"/>
      <c r="N33" s="27">
        <f t="shared" ref="N33:N34" si="29">O33+P33+Q33</f>
        <v>824815.6</v>
      </c>
      <c r="O33" s="33">
        <v>107226</v>
      </c>
      <c r="P33" s="33">
        <v>717589.6</v>
      </c>
      <c r="Q33" s="33"/>
      <c r="R33" s="27">
        <f t="shared" ref="R33:R34" si="30">S33+T33+U33</f>
        <v>871038.2</v>
      </c>
      <c r="S33" s="33">
        <v>113235</v>
      </c>
      <c r="T33" s="33">
        <v>757803.2</v>
      </c>
      <c r="U33" s="33"/>
      <c r="V33" s="34">
        <f t="shared" si="4"/>
        <v>0.40600000000000003</v>
      </c>
    </row>
    <row r="34" spans="1:101" ht="48" customHeight="1">
      <c r="A34" s="24"/>
      <c r="B34" s="41" t="s">
        <v>30</v>
      </c>
      <c r="C34" s="35">
        <v>809</v>
      </c>
      <c r="D34" s="36" t="s">
        <v>20</v>
      </c>
      <c r="E34" s="35" t="s">
        <v>153</v>
      </c>
      <c r="F34" s="28">
        <f t="shared" si="0"/>
        <v>1187214.5</v>
      </c>
      <c r="G34" s="33"/>
      <c r="H34" s="33">
        <v>1187214.5</v>
      </c>
      <c r="I34" s="33"/>
      <c r="J34" s="28">
        <f t="shared" si="28"/>
        <v>686744.3</v>
      </c>
      <c r="K34" s="33"/>
      <c r="L34" s="33">
        <v>686744.3</v>
      </c>
      <c r="M34" s="33"/>
      <c r="N34" s="27">
        <f t="shared" si="29"/>
        <v>1257651.5</v>
      </c>
      <c r="O34" s="33"/>
      <c r="P34" s="33">
        <v>1257651.5</v>
      </c>
      <c r="Q34" s="33"/>
      <c r="R34" s="27">
        <f t="shared" si="30"/>
        <v>1307241.5</v>
      </c>
      <c r="S34" s="33"/>
      <c r="T34" s="33">
        <v>1307241.5</v>
      </c>
      <c r="U34" s="33"/>
      <c r="V34" s="34">
        <f t="shared" si="4"/>
        <v>0.57799999999999996</v>
      </c>
    </row>
    <row r="35" spans="1:101" ht="93" customHeight="1">
      <c r="A35" s="24"/>
      <c r="B35" s="41" t="s">
        <v>212</v>
      </c>
      <c r="C35" s="35">
        <v>809</v>
      </c>
      <c r="D35" s="36" t="s">
        <v>20</v>
      </c>
      <c r="E35" s="35" t="s">
        <v>164</v>
      </c>
      <c r="F35" s="28">
        <f t="shared" ref="F35" si="31">G35+H35+I35</f>
        <v>191712.2</v>
      </c>
      <c r="G35" s="33">
        <v>191712.2</v>
      </c>
      <c r="H35" s="33"/>
      <c r="I35" s="33"/>
      <c r="J35" s="27">
        <f t="shared" ref="J35" si="32">K35+L35+M35</f>
        <v>95288.2</v>
      </c>
      <c r="K35" s="33">
        <v>95288.2</v>
      </c>
      <c r="L35" s="33"/>
      <c r="M35" s="33"/>
      <c r="N35" s="27">
        <f t="shared" ref="N35" si="33">O35+P35+Q35</f>
        <v>0</v>
      </c>
      <c r="O35" s="33"/>
      <c r="P35" s="33"/>
      <c r="Q35" s="33"/>
      <c r="R35" s="27">
        <f t="shared" ref="R35" si="34">S35+T35+U35</f>
        <v>0</v>
      </c>
      <c r="S35" s="33"/>
      <c r="T35" s="33"/>
      <c r="U35" s="33"/>
      <c r="V35" s="34">
        <f t="shared" ref="V35" si="35">J35/F35</f>
        <v>0.497</v>
      </c>
    </row>
    <row r="36" spans="1:101" ht="24" customHeight="1">
      <c r="A36" s="21" t="s">
        <v>32</v>
      </c>
      <c r="B36" s="43" t="s">
        <v>33</v>
      </c>
      <c r="C36" s="44" t="s">
        <v>12</v>
      </c>
      <c r="D36" s="44" t="s">
        <v>12</v>
      </c>
      <c r="E36" s="44" t="s">
        <v>12</v>
      </c>
      <c r="F36" s="45">
        <f t="shared" si="0"/>
        <v>3709842.2</v>
      </c>
      <c r="G36" s="45">
        <f>G37+G41+G45+G52+G55</f>
        <v>794880.8</v>
      </c>
      <c r="H36" s="45">
        <f t="shared" ref="H36:I36" si="36">H37+H41+H45+H52+H55</f>
        <v>2914961.4</v>
      </c>
      <c r="I36" s="45">
        <f t="shared" si="36"/>
        <v>0</v>
      </c>
      <c r="J36" s="45">
        <f t="shared" ref="J36:J37" si="37">K36+L36+M36</f>
        <v>881420</v>
      </c>
      <c r="K36" s="45">
        <f>K37+K41+K45+K52+K55</f>
        <v>248039.1</v>
      </c>
      <c r="L36" s="45">
        <f t="shared" ref="L36:M36" si="38">L37+L41+L45+L52+L55</f>
        <v>633380.9</v>
      </c>
      <c r="M36" s="45">
        <f t="shared" si="38"/>
        <v>0</v>
      </c>
      <c r="N36" s="45">
        <f t="shared" ref="N36:N37" si="39">O36+P36+Q36</f>
        <v>1266859</v>
      </c>
      <c r="O36" s="45">
        <f>O37+O41+O45+O52+O55</f>
        <v>191286.3</v>
      </c>
      <c r="P36" s="45">
        <f>P37+P41+P45+P52+P55</f>
        <v>1075572.7</v>
      </c>
      <c r="Q36" s="45">
        <f>Q37+Q41+Q45+Q52+Q55</f>
        <v>0</v>
      </c>
      <c r="R36" s="45">
        <f t="shared" ref="R36:R37" si="40">S36+T36+U36</f>
        <v>1317986.5</v>
      </c>
      <c r="S36" s="45">
        <f>S37+S41+S45+S52+S55</f>
        <v>163759.4</v>
      </c>
      <c r="T36" s="45">
        <f>T37+T41+T45+T52+T55</f>
        <v>1154227.1000000001</v>
      </c>
      <c r="U36" s="45">
        <f>U37+U41+U45+U52+U55</f>
        <v>0</v>
      </c>
      <c r="V36" s="46">
        <f t="shared" si="4"/>
        <v>0.23799999999999999</v>
      </c>
    </row>
    <row r="37" spans="1:101" ht="51.75" customHeight="1">
      <c r="A37" s="24" t="s">
        <v>34</v>
      </c>
      <c r="B37" s="47" t="s">
        <v>35</v>
      </c>
      <c r="C37" s="26" t="s">
        <v>12</v>
      </c>
      <c r="D37" s="26" t="s">
        <v>12</v>
      </c>
      <c r="E37" s="26" t="s">
        <v>12</v>
      </c>
      <c r="F37" s="28">
        <f t="shared" si="0"/>
        <v>366990.3</v>
      </c>
      <c r="G37" s="28">
        <f>SUM(G39:G40)</f>
        <v>266925.09999999998</v>
      </c>
      <c r="H37" s="28">
        <f>SUM(H39:H40)</f>
        <v>100065.2</v>
      </c>
      <c r="I37" s="28">
        <f>SUM(I39:I40)</f>
        <v>0</v>
      </c>
      <c r="J37" s="28">
        <f t="shared" si="37"/>
        <v>243000</v>
      </c>
      <c r="K37" s="28">
        <f>SUM(K39:K40)</f>
        <v>142934.79999999999</v>
      </c>
      <c r="L37" s="28">
        <f>SUM(L39:L40)</f>
        <v>100065.2</v>
      </c>
      <c r="M37" s="28">
        <f>SUM(M39:M40)</f>
        <v>0</v>
      </c>
      <c r="N37" s="28">
        <f t="shared" si="39"/>
        <v>226690.3</v>
      </c>
      <c r="O37" s="28">
        <f>SUM(O39:O40)</f>
        <v>139352.6</v>
      </c>
      <c r="P37" s="28">
        <f>SUM(P39:P40)</f>
        <v>87337.7</v>
      </c>
      <c r="Q37" s="28">
        <f>SUM(Q39:Q40)</f>
        <v>0</v>
      </c>
      <c r="R37" s="28">
        <f t="shared" si="40"/>
        <v>226690.3</v>
      </c>
      <c r="S37" s="28">
        <f>SUM(S39:S40)</f>
        <v>121119.4</v>
      </c>
      <c r="T37" s="28">
        <f>SUM(T39:T40)</f>
        <v>105570.9</v>
      </c>
      <c r="U37" s="28">
        <f>SUM(U39:U40)</f>
        <v>0</v>
      </c>
      <c r="V37" s="38">
        <f t="shared" si="4"/>
        <v>0.66200000000000003</v>
      </c>
    </row>
    <row r="38" spans="1:101" ht="24" customHeight="1">
      <c r="A38" s="39"/>
      <c r="B38" s="40" t="s">
        <v>15</v>
      </c>
      <c r="C38" s="32"/>
      <c r="D38" s="32"/>
      <c r="E38" s="32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38"/>
    </row>
    <row r="39" spans="1:101" ht="36.75" customHeight="1">
      <c r="A39" s="39"/>
      <c r="B39" s="41" t="s">
        <v>222</v>
      </c>
      <c r="C39" s="35">
        <v>811</v>
      </c>
      <c r="D39" s="36" t="s">
        <v>17</v>
      </c>
      <c r="E39" s="35" t="s">
        <v>118</v>
      </c>
      <c r="F39" s="28">
        <f t="shared" si="0"/>
        <v>198000</v>
      </c>
      <c r="G39" s="33">
        <v>97934.8</v>
      </c>
      <c r="H39" s="33">
        <v>100065.2</v>
      </c>
      <c r="I39" s="33"/>
      <c r="J39" s="28">
        <f t="shared" ref="J39:J41" si="41">K39+L39+M39</f>
        <v>198000</v>
      </c>
      <c r="K39" s="33">
        <v>97934.8</v>
      </c>
      <c r="L39" s="33">
        <v>100065.2</v>
      </c>
      <c r="M39" s="33"/>
      <c r="N39" s="28">
        <f t="shared" ref="N39:N41" si="42">O39+P39+Q39</f>
        <v>198000</v>
      </c>
      <c r="O39" s="33">
        <v>110662.3</v>
      </c>
      <c r="P39" s="33">
        <v>87337.7</v>
      </c>
      <c r="Q39" s="33"/>
      <c r="R39" s="28">
        <f t="shared" ref="R39:R41" si="43">S39+T39+U39</f>
        <v>198000</v>
      </c>
      <c r="S39" s="33">
        <v>92429.1</v>
      </c>
      <c r="T39" s="33">
        <v>105570.9</v>
      </c>
      <c r="U39" s="33"/>
      <c r="V39" s="34">
        <f t="shared" si="4"/>
        <v>1</v>
      </c>
    </row>
    <row r="40" spans="1:101" ht="42.75" customHeight="1">
      <c r="A40" s="39"/>
      <c r="B40" s="41" t="s">
        <v>36</v>
      </c>
      <c r="C40" s="35">
        <v>811</v>
      </c>
      <c r="D40" s="36" t="s">
        <v>17</v>
      </c>
      <c r="E40" s="35" t="s">
        <v>165</v>
      </c>
      <c r="F40" s="28">
        <f t="shared" si="0"/>
        <v>168990.3</v>
      </c>
      <c r="G40" s="33">
        <v>168990.3</v>
      </c>
      <c r="H40" s="33"/>
      <c r="I40" s="33"/>
      <c r="J40" s="28">
        <f t="shared" si="41"/>
        <v>45000</v>
      </c>
      <c r="K40" s="33">
        <v>45000</v>
      </c>
      <c r="L40" s="33"/>
      <c r="M40" s="33"/>
      <c r="N40" s="28">
        <f t="shared" si="42"/>
        <v>28690.3</v>
      </c>
      <c r="O40" s="33">
        <v>28690.3</v>
      </c>
      <c r="P40" s="33"/>
      <c r="Q40" s="33"/>
      <c r="R40" s="28">
        <f t="shared" si="43"/>
        <v>28690.3</v>
      </c>
      <c r="S40" s="33">
        <v>28690.3</v>
      </c>
      <c r="T40" s="33"/>
      <c r="U40" s="33"/>
      <c r="V40" s="34">
        <f t="shared" si="4"/>
        <v>0.26600000000000001</v>
      </c>
    </row>
    <row r="41" spans="1:101" ht="33">
      <c r="A41" s="24" t="s">
        <v>37</v>
      </c>
      <c r="B41" s="48" t="s">
        <v>38</v>
      </c>
      <c r="C41" s="26" t="s">
        <v>12</v>
      </c>
      <c r="D41" s="26" t="s">
        <v>12</v>
      </c>
      <c r="E41" s="26" t="s">
        <v>12</v>
      </c>
      <c r="F41" s="28">
        <f t="shared" ref="F41:F99" si="44">G41+H41+I41</f>
        <v>177383.1</v>
      </c>
      <c r="G41" s="28">
        <f>SUM(G43:G44)</f>
        <v>1629.2</v>
      </c>
      <c r="H41" s="28">
        <f>SUM(H43:H44)</f>
        <v>175753.9</v>
      </c>
      <c r="I41" s="28">
        <f>SUM(I43:I44)</f>
        <v>0</v>
      </c>
      <c r="J41" s="28">
        <f t="shared" si="41"/>
        <v>67405.899999999994</v>
      </c>
      <c r="K41" s="28">
        <f>SUM(K43:K44)</f>
        <v>1243.8</v>
      </c>
      <c r="L41" s="28">
        <f>SUM(L43:L44)</f>
        <v>66162.100000000006</v>
      </c>
      <c r="M41" s="28">
        <f>SUM(M43:M44)</f>
        <v>0</v>
      </c>
      <c r="N41" s="28">
        <f t="shared" si="42"/>
        <v>120419.7</v>
      </c>
      <c r="O41" s="28">
        <f>SUM(O43:O44)</f>
        <v>1607.3</v>
      </c>
      <c r="P41" s="28">
        <f>SUM(P43:P44)</f>
        <v>118812.4</v>
      </c>
      <c r="Q41" s="28">
        <f>SUM(Q43:Q44)</f>
        <v>0</v>
      </c>
      <c r="R41" s="28">
        <f t="shared" si="43"/>
        <v>172977.9</v>
      </c>
      <c r="S41" s="28">
        <f>SUM(S43:S44)</f>
        <v>5189.3999999999996</v>
      </c>
      <c r="T41" s="28">
        <f>SUM(T43:T44)</f>
        <v>167788.5</v>
      </c>
      <c r="U41" s="28">
        <f>SUM(U43:U44)</f>
        <v>0</v>
      </c>
      <c r="V41" s="29">
        <f t="shared" ref="V41:V103" si="45">J41/F41</f>
        <v>0.38</v>
      </c>
    </row>
    <row r="42" spans="1:101" ht="18.75">
      <c r="A42" s="39"/>
      <c r="B42" s="40" t="s">
        <v>15</v>
      </c>
      <c r="C42" s="32"/>
      <c r="D42" s="32"/>
      <c r="E42" s="32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9"/>
    </row>
    <row r="43" spans="1:101" s="55" customFormat="1" ht="47.25" customHeight="1">
      <c r="A43" s="49"/>
      <c r="B43" s="50" t="s">
        <v>39</v>
      </c>
      <c r="C43" s="51">
        <v>811</v>
      </c>
      <c r="D43" s="52" t="s">
        <v>17</v>
      </c>
      <c r="E43" s="51" t="s">
        <v>119</v>
      </c>
      <c r="F43" s="67">
        <f t="shared" si="44"/>
        <v>123078.6</v>
      </c>
      <c r="G43" s="53"/>
      <c r="H43" s="53">
        <v>123078.6</v>
      </c>
      <c r="I43" s="53"/>
      <c r="J43" s="67">
        <f t="shared" ref="J43:J44" si="46">K43+L43+M43</f>
        <v>25946.1</v>
      </c>
      <c r="K43" s="53"/>
      <c r="L43" s="53">
        <v>25946.1</v>
      </c>
      <c r="M43" s="53"/>
      <c r="N43" s="28">
        <f t="shared" ref="N43:N44" si="47">O43+P43+Q43</f>
        <v>66844.800000000003</v>
      </c>
      <c r="O43" s="53"/>
      <c r="P43" s="53">
        <v>66844.800000000003</v>
      </c>
      <c r="Q43" s="53"/>
      <c r="R43" s="28">
        <f t="shared" ref="R43:R44" si="48">S43+T43+U43</f>
        <v>119403</v>
      </c>
      <c r="S43" s="53">
        <v>3582.1</v>
      </c>
      <c r="T43" s="53">
        <v>115820.9</v>
      </c>
      <c r="U43" s="53"/>
      <c r="V43" s="54">
        <f t="shared" si="45"/>
        <v>0.21099999999999999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s="55" customFormat="1" ht="75.75" customHeight="1">
      <c r="A44" s="49"/>
      <c r="B44" s="50" t="s">
        <v>121</v>
      </c>
      <c r="C44" s="51">
        <v>811</v>
      </c>
      <c r="D44" s="52" t="s">
        <v>17</v>
      </c>
      <c r="E44" s="51" t="s">
        <v>120</v>
      </c>
      <c r="F44" s="67">
        <f t="shared" si="44"/>
        <v>54304.5</v>
      </c>
      <c r="G44" s="53">
        <f>1607.3+21.9</f>
        <v>1629.2</v>
      </c>
      <c r="H44" s="53">
        <f>51967.6+707.7</f>
        <v>52675.3</v>
      </c>
      <c r="I44" s="53"/>
      <c r="J44" s="67">
        <f t="shared" si="46"/>
        <v>41459.800000000003</v>
      </c>
      <c r="K44" s="53">
        <v>1243.8</v>
      </c>
      <c r="L44" s="53">
        <v>40216</v>
      </c>
      <c r="M44" s="53"/>
      <c r="N44" s="28">
        <f t="shared" si="47"/>
        <v>53574.9</v>
      </c>
      <c r="O44" s="53">
        <v>1607.3</v>
      </c>
      <c r="P44" s="53">
        <v>51967.6</v>
      </c>
      <c r="Q44" s="53"/>
      <c r="R44" s="28">
        <f t="shared" si="48"/>
        <v>53574.9</v>
      </c>
      <c r="S44" s="53">
        <v>1607.3</v>
      </c>
      <c r="T44" s="53">
        <v>51967.6</v>
      </c>
      <c r="U44" s="53"/>
      <c r="V44" s="54">
        <f t="shared" si="45"/>
        <v>0.76300000000000001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</row>
    <row r="45" spans="1:101" s="8" customFormat="1" ht="39.75" customHeight="1">
      <c r="A45" s="24" t="s">
        <v>40</v>
      </c>
      <c r="B45" s="47" t="s">
        <v>43</v>
      </c>
      <c r="C45" s="26" t="s">
        <v>12</v>
      </c>
      <c r="D45" s="26" t="s">
        <v>12</v>
      </c>
      <c r="E45" s="26" t="s">
        <v>12</v>
      </c>
      <c r="F45" s="28">
        <f t="shared" si="44"/>
        <v>1900413.9</v>
      </c>
      <c r="G45" s="28">
        <f>SUM(G47:G51)</f>
        <v>458449.7</v>
      </c>
      <c r="H45" s="28">
        <f t="shared" ref="H45:I45" si="49">SUM(H47:H51)</f>
        <v>1441964.2</v>
      </c>
      <c r="I45" s="28">
        <f t="shared" si="49"/>
        <v>0</v>
      </c>
      <c r="J45" s="28">
        <f t="shared" ref="J45" si="50">K45+L45+M45</f>
        <v>466846.4</v>
      </c>
      <c r="K45" s="28">
        <f>SUM(K47:K51)</f>
        <v>98373.6</v>
      </c>
      <c r="L45" s="28">
        <f t="shared" ref="L45:M45" si="51">SUM(L47:L51)</f>
        <v>368472.8</v>
      </c>
      <c r="M45" s="28">
        <f t="shared" si="51"/>
        <v>0</v>
      </c>
      <c r="N45" s="28">
        <f t="shared" ref="N45" si="52">O45+P45+Q45</f>
        <v>54940.6</v>
      </c>
      <c r="O45" s="28">
        <f>SUM(O47:O51)</f>
        <v>0</v>
      </c>
      <c r="P45" s="28">
        <f t="shared" ref="P45:Q45" si="53">SUM(P47:P51)</f>
        <v>54940.6</v>
      </c>
      <c r="Q45" s="28">
        <f t="shared" si="53"/>
        <v>0</v>
      </c>
      <c r="R45" s="28">
        <f t="shared" ref="R45" si="54">S45+T45+U45</f>
        <v>64076.800000000003</v>
      </c>
      <c r="S45" s="28">
        <f>SUM(S47:S51)</f>
        <v>1922.3</v>
      </c>
      <c r="T45" s="28">
        <f>SUM(T47:T51)</f>
        <v>62154.5</v>
      </c>
      <c r="U45" s="28">
        <f t="shared" ref="U45" si="55">SUM(U47:U51)</f>
        <v>0</v>
      </c>
      <c r="V45" s="29">
        <f>J45/F45</f>
        <v>0.246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</row>
    <row r="46" spans="1:101" ht="18.75">
      <c r="A46" s="39"/>
      <c r="B46" s="40" t="s">
        <v>15</v>
      </c>
      <c r="C46" s="32"/>
      <c r="D46" s="32"/>
      <c r="E46" s="32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</row>
    <row r="47" spans="1:101" ht="57" customHeight="1">
      <c r="A47" s="39"/>
      <c r="B47" s="41" t="s">
        <v>122</v>
      </c>
      <c r="C47" s="35" t="s">
        <v>257</v>
      </c>
      <c r="D47" s="36" t="s">
        <v>17</v>
      </c>
      <c r="E47" s="35" t="s">
        <v>123</v>
      </c>
      <c r="F47" s="28">
        <f t="shared" si="44"/>
        <v>211277.1</v>
      </c>
      <c r="G47" s="33">
        <v>0</v>
      </c>
      <c r="H47" s="33">
        <v>211277.1</v>
      </c>
      <c r="I47" s="33"/>
      <c r="J47" s="28">
        <f t="shared" ref="J47:J52" si="56">K47+L47+M47</f>
        <v>0</v>
      </c>
      <c r="K47" s="33"/>
      <c r="L47" s="33"/>
      <c r="M47" s="33"/>
      <c r="N47" s="28">
        <f t="shared" ref="N47:N52" si="57">O47+P47+Q47</f>
        <v>54940.6</v>
      </c>
      <c r="O47" s="33">
        <v>0</v>
      </c>
      <c r="P47" s="33">
        <v>54940.6</v>
      </c>
      <c r="Q47" s="33"/>
      <c r="R47" s="28">
        <f t="shared" ref="R47:R52" si="58">S47+T47+U47</f>
        <v>64076.800000000003</v>
      </c>
      <c r="S47" s="33">
        <v>1922.3</v>
      </c>
      <c r="T47" s="33">
        <v>62154.5</v>
      </c>
      <c r="U47" s="33"/>
      <c r="V47" s="34">
        <f t="shared" si="45"/>
        <v>0</v>
      </c>
    </row>
    <row r="48" spans="1:101" ht="48" customHeight="1">
      <c r="A48" s="39"/>
      <c r="B48" s="41" t="s">
        <v>344</v>
      </c>
      <c r="C48" s="35">
        <v>821</v>
      </c>
      <c r="D48" s="36" t="s">
        <v>19</v>
      </c>
      <c r="E48" s="35" t="s">
        <v>343</v>
      </c>
      <c r="F48" s="28">
        <f t="shared" ref="F48:F50" si="59">G48+H48+I48</f>
        <v>1551358.9</v>
      </c>
      <c r="G48" s="33">
        <f>320671.8</f>
        <v>320671.8</v>
      </c>
      <c r="H48" s="33">
        <v>1230687.1000000001</v>
      </c>
      <c r="I48" s="33"/>
      <c r="J48" s="28">
        <f t="shared" ref="J48:J50" si="60">K48+L48+M48</f>
        <v>464483.3</v>
      </c>
      <c r="K48" s="33">
        <v>96010.5</v>
      </c>
      <c r="L48" s="33">
        <v>368472.8</v>
      </c>
      <c r="M48" s="33"/>
      <c r="N48" s="28">
        <f t="shared" ref="N48:N50" si="61">O48+P48+Q48</f>
        <v>0</v>
      </c>
      <c r="O48" s="33"/>
      <c r="P48" s="33"/>
      <c r="Q48" s="33"/>
      <c r="R48" s="28">
        <f t="shared" ref="R48:R50" si="62">S48+T48+U48</f>
        <v>0</v>
      </c>
      <c r="S48" s="33"/>
      <c r="T48" s="33"/>
      <c r="U48" s="33"/>
      <c r="V48" s="34">
        <f t="shared" ref="V48:V50" si="63">J48/F48</f>
        <v>0.29899999999999999</v>
      </c>
    </row>
    <row r="49" spans="1:101" ht="48" customHeight="1">
      <c r="A49" s="39"/>
      <c r="B49" s="41" t="s">
        <v>344</v>
      </c>
      <c r="C49" s="35" t="s">
        <v>257</v>
      </c>
      <c r="D49" s="36" t="s">
        <v>17</v>
      </c>
      <c r="E49" s="35" t="s">
        <v>343</v>
      </c>
      <c r="F49" s="28">
        <f t="shared" si="59"/>
        <v>0</v>
      </c>
      <c r="G49" s="33"/>
      <c r="H49" s="33"/>
      <c r="I49" s="33"/>
      <c r="J49" s="28">
        <f t="shared" si="60"/>
        <v>0</v>
      </c>
      <c r="K49" s="33"/>
      <c r="L49" s="33"/>
      <c r="M49" s="33"/>
      <c r="N49" s="28">
        <f t="shared" si="61"/>
        <v>0</v>
      </c>
      <c r="O49" s="33"/>
      <c r="P49" s="33"/>
      <c r="Q49" s="33"/>
      <c r="R49" s="28">
        <f t="shared" si="62"/>
        <v>0</v>
      </c>
      <c r="S49" s="33"/>
      <c r="T49" s="33"/>
      <c r="U49" s="33"/>
      <c r="V49" s="34" t="e">
        <f t="shared" si="63"/>
        <v>#DIV/0!</v>
      </c>
    </row>
    <row r="50" spans="1:101" ht="48" customHeight="1">
      <c r="A50" s="39"/>
      <c r="B50" s="41" t="s">
        <v>348</v>
      </c>
      <c r="C50" s="35" t="s">
        <v>257</v>
      </c>
      <c r="D50" s="36" t="s">
        <v>17</v>
      </c>
      <c r="E50" s="35" t="s">
        <v>349</v>
      </c>
      <c r="F50" s="28">
        <f t="shared" si="59"/>
        <v>126807.8</v>
      </c>
      <c r="G50" s="33">
        <v>126807.8</v>
      </c>
      <c r="H50" s="33"/>
      <c r="I50" s="33"/>
      <c r="J50" s="28">
        <f t="shared" si="60"/>
        <v>0</v>
      </c>
      <c r="K50" s="33"/>
      <c r="L50" s="33"/>
      <c r="M50" s="33"/>
      <c r="N50" s="28">
        <f t="shared" si="61"/>
        <v>0</v>
      </c>
      <c r="O50" s="33"/>
      <c r="P50" s="33"/>
      <c r="Q50" s="33"/>
      <c r="R50" s="28">
        <f t="shared" si="62"/>
        <v>0</v>
      </c>
      <c r="S50" s="33"/>
      <c r="T50" s="33"/>
      <c r="U50" s="33"/>
      <c r="V50" s="34">
        <f t="shared" si="63"/>
        <v>0</v>
      </c>
    </row>
    <row r="51" spans="1:101" ht="53.25" customHeight="1">
      <c r="A51" s="39"/>
      <c r="B51" s="41" t="s">
        <v>348</v>
      </c>
      <c r="C51" s="35">
        <v>821</v>
      </c>
      <c r="D51" s="36" t="s">
        <v>19</v>
      </c>
      <c r="E51" s="35" t="s">
        <v>349</v>
      </c>
      <c r="F51" s="28">
        <f t="shared" ref="F51" si="64">G51+H51+I51</f>
        <v>10970.1</v>
      </c>
      <c r="G51" s="33">
        <v>10970.1</v>
      </c>
      <c r="H51" s="33"/>
      <c r="I51" s="33"/>
      <c r="J51" s="28">
        <f t="shared" ref="J51" si="65">K51+L51+M51</f>
        <v>2363.1</v>
      </c>
      <c r="K51" s="33">
        <v>2363.1</v>
      </c>
      <c r="L51" s="33"/>
      <c r="M51" s="33"/>
      <c r="N51" s="28">
        <f t="shared" ref="N51" si="66">O51+P51+Q51</f>
        <v>0</v>
      </c>
      <c r="O51" s="33"/>
      <c r="P51" s="33"/>
      <c r="Q51" s="33"/>
      <c r="R51" s="28">
        <f t="shared" ref="R51" si="67">S51+T51+U51</f>
        <v>0</v>
      </c>
      <c r="S51" s="33"/>
      <c r="T51" s="33"/>
      <c r="U51" s="33"/>
      <c r="V51" s="34">
        <f t="shared" ref="V51" si="68">J51/F51</f>
        <v>0.215</v>
      </c>
    </row>
    <row r="52" spans="1:101" s="8" customFormat="1" ht="72.75" customHeight="1">
      <c r="A52" s="56" t="s">
        <v>41</v>
      </c>
      <c r="B52" s="48" t="s">
        <v>260</v>
      </c>
      <c r="C52" s="26" t="s">
        <v>12</v>
      </c>
      <c r="D52" s="26" t="s">
        <v>12</v>
      </c>
      <c r="E52" s="26" t="s">
        <v>12</v>
      </c>
      <c r="F52" s="28">
        <f>G52+H52+I52</f>
        <v>77368.899999999994</v>
      </c>
      <c r="G52" s="28">
        <f>SUM(G54)</f>
        <v>17669.400000000001</v>
      </c>
      <c r="H52" s="28">
        <f t="shared" ref="H52:I52" si="69">SUM(H54)</f>
        <v>59699.5</v>
      </c>
      <c r="I52" s="28">
        <f t="shared" si="69"/>
        <v>0</v>
      </c>
      <c r="J52" s="28">
        <f t="shared" si="56"/>
        <v>5821.4</v>
      </c>
      <c r="K52" s="28">
        <f>K54</f>
        <v>1329.5</v>
      </c>
      <c r="L52" s="28">
        <f>L54</f>
        <v>4491.8999999999996</v>
      </c>
      <c r="M52" s="28">
        <f t="shared" ref="M52" si="70">SUM(M54:M64)</f>
        <v>0</v>
      </c>
      <c r="N52" s="28">
        <f t="shared" si="57"/>
        <v>58091.1</v>
      </c>
      <c r="O52" s="28">
        <f>SUM(O54)</f>
        <v>16223.8</v>
      </c>
      <c r="P52" s="28">
        <f>SUM(P54)</f>
        <v>41867.300000000003</v>
      </c>
      <c r="Q52" s="28">
        <f t="shared" ref="Q52" si="71">SUM(Q54:Q64)</f>
        <v>0</v>
      </c>
      <c r="R52" s="28">
        <f t="shared" si="58"/>
        <v>47524.2</v>
      </c>
      <c r="S52" s="28">
        <f>SUM(S54)</f>
        <v>1425.7</v>
      </c>
      <c r="T52" s="28">
        <f>SUM(T54)</f>
        <v>46098.5</v>
      </c>
      <c r="U52" s="28">
        <f t="shared" ref="U52" si="72">SUM(U54:U64)</f>
        <v>0</v>
      </c>
      <c r="V52" s="29">
        <f t="shared" si="45"/>
        <v>7.4999999999999997E-2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</row>
    <row r="53" spans="1:101" ht="22.5" customHeight="1">
      <c r="A53" s="14"/>
      <c r="B53" s="40" t="s">
        <v>15</v>
      </c>
      <c r="C53" s="32"/>
      <c r="D53" s="32"/>
      <c r="E53" s="32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1:101" ht="72.75" customHeight="1">
      <c r="A54" s="11"/>
      <c r="B54" s="41" t="s">
        <v>42</v>
      </c>
      <c r="C54" s="35" t="s">
        <v>257</v>
      </c>
      <c r="D54" s="36" t="s">
        <v>17</v>
      </c>
      <c r="E54" s="35" t="s">
        <v>124</v>
      </c>
      <c r="F54" s="28">
        <f t="shared" si="44"/>
        <v>77368.899999999994</v>
      </c>
      <c r="G54" s="33">
        <v>17669.400000000001</v>
      </c>
      <c r="H54" s="33">
        <v>59699.5</v>
      </c>
      <c r="I54" s="33"/>
      <c r="J54" s="28">
        <f t="shared" ref="J54:J66" si="73">K54+L54+M54</f>
        <v>5821.4</v>
      </c>
      <c r="K54" s="33">
        <v>1329.5</v>
      </c>
      <c r="L54" s="33">
        <v>4491.8999999999996</v>
      </c>
      <c r="M54" s="33"/>
      <c r="N54" s="28">
        <f t="shared" ref="N54:N65" si="74">O54+P54+Q54</f>
        <v>58091.1</v>
      </c>
      <c r="O54" s="33">
        <v>16223.8</v>
      </c>
      <c r="P54" s="33">
        <v>41867.300000000003</v>
      </c>
      <c r="Q54" s="33"/>
      <c r="R54" s="28">
        <f t="shared" ref="R54:R65" si="75">S54+T54+U54</f>
        <v>47524.2</v>
      </c>
      <c r="S54" s="33">
        <v>1425.7</v>
      </c>
      <c r="T54" s="33">
        <v>46098.5</v>
      </c>
      <c r="U54" s="33"/>
      <c r="V54" s="34">
        <f t="shared" si="45"/>
        <v>7.4999999999999997E-2</v>
      </c>
    </row>
    <row r="55" spans="1:101" ht="46.5" customHeight="1">
      <c r="A55" s="11" t="s">
        <v>261</v>
      </c>
      <c r="B55" s="48" t="s">
        <v>262</v>
      </c>
      <c r="C55" s="35" t="s">
        <v>12</v>
      </c>
      <c r="D55" s="36" t="s">
        <v>12</v>
      </c>
      <c r="E55" s="35" t="s">
        <v>12</v>
      </c>
      <c r="F55" s="28">
        <f>G55+H55+I55</f>
        <v>1187686</v>
      </c>
      <c r="G55" s="28">
        <f>SUM(G57:G64)</f>
        <v>50207.4</v>
      </c>
      <c r="H55" s="28">
        <f t="shared" ref="H55:I55" si="76">SUM(H57:H64)</f>
        <v>1137478.6000000001</v>
      </c>
      <c r="I55" s="28">
        <f t="shared" si="76"/>
        <v>0</v>
      </c>
      <c r="J55" s="28">
        <f>K55+L55+M55</f>
        <v>98346.3</v>
      </c>
      <c r="K55" s="28">
        <f>SUM(K57:K64)</f>
        <v>4157.3999999999996</v>
      </c>
      <c r="L55" s="28">
        <f t="shared" ref="L55:M55" si="77">SUM(L57:L64)</f>
        <v>94188.9</v>
      </c>
      <c r="M55" s="28">
        <f t="shared" si="77"/>
        <v>0</v>
      </c>
      <c r="N55" s="28">
        <f>O55+P55+Q55</f>
        <v>806717.3</v>
      </c>
      <c r="O55" s="28">
        <f>SUM(O57:O64)</f>
        <v>34102.6</v>
      </c>
      <c r="P55" s="28">
        <f t="shared" ref="P55:Q55" si="78">SUM(P57:P64)</f>
        <v>772614.7</v>
      </c>
      <c r="Q55" s="28">
        <f t="shared" si="78"/>
        <v>0</v>
      </c>
      <c r="R55" s="28">
        <f>S55+T55+U55</f>
        <v>806717.3</v>
      </c>
      <c r="S55" s="28">
        <f>SUM(S57:S64)</f>
        <v>34102.6</v>
      </c>
      <c r="T55" s="28">
        <f t="shared" ref="T55:U55" si="79">SUM(T57:T64)</f>
        <v>772614.7</v>
      </c>
      <c r="U55" s="28">
        <f t="shared" si="79"/>
        <v>0</v>
      </c>
      <c r="V55" s="34">
        <f t="shared" si="45"/>
        <v>8.3000000000000004E-2</v>
      </c>
    </row>
    <row r="56" spans="1:101" ht="22.5" customHeight="1">
      <c r="A56" s="11"/>
      <c r="B56" s="40" t="s">
        <v>15</v>
      </c>
      <c r="C56" s="35"/>
      <c r="D56" s="36"/>
      <c r="E56" s="35"/>
      <c r="F56" s="28"/>
      <c r="G56" s="33"/>
      <c r="H56" s="33"/>
      <c r="I56" s="33"/>
      <c r="J56" s="28"/>
      <c r="K56" s="33"/>
      <c r="L56" s="33"/>
      <c r="M56" s="33"/>
      <c r="N56" s="28"/>
      <c r="O56" s="33"/>
      <c r="P56" s="33"/>
      <c r="Q56" s="33"/>
      <c r="R56" s="28"/>
      <c r="S56" s="33"/>
      <c r="T56" s="33"/>
      <c r="U56" s="33"/>
      <c r="V56" s="34"/>
    </row>
    <row r="57" spans="1:101" ht="60" customHeight="1">
      <c r="A57" s="24"/>
      <c r="B57" s="41" t="s">
        <v>268</v>
      </c>
      <c r="C57" s="35" t="s">
        <v>258</v>
      </c>
      <c r="D57" s="36" t="s">
        <v>19</v>
      </c>
      <c r="E57" s="36" t="s">
        <v>263</v>
      </c>
      <c r="F57" s="28">
        <f>G57+H57+I57</f>
        <v>243378.5</v>
      </c>
      <c r="G57" s="33">
        <f>8169.9+5779.4-3263.2-397.7</f>
        <v>10288.4</v>
      </c>
      <c r="H57" s="33">
        <f>185092.6-73927.1+130935.7-9011.1</f>
        <v>233090.1</v>
      </c>
      <c r="I57" s="33"/>
      <c r="J57" s="28">
        <f t="shared" si="73"/>
        <v>26465.5</v>
      </c>
      <c r="K57" s="33">
        <v>1118.8</v>
      </c>
      <c r="L57" s="33">
        <v>25346.7</v>
      </c>
      <c r="M57" s="33"/>
      <c r="N57" s="28">
        <f t="shared" si="74"/>
        <v>146767</v>
      </c>
      <c r="O57" s="33">
        <f>4286.6+432.5+1485.2</f>
        <v>6204.3</v>
      </c>
      <c r="P57" s="33">
        <f>97115.4+9799.1+33648.2</f>
        <v>140562.70000000001</v>
      </c>
      <c r="Q57" s="33"/>
      <c r="R57" s="28">
        <f t="shared" si="75"/>
        <v>142053.9</v>
      </c>
      <c r="S57" s="33">
        <f>7490.3-1485.2</f>
        <v>6005.1</v>
      </c>
      <c r="T57" s="33">
        <f>169697-33648.2</f>
        <v>136048.79999999999</v>
      </c>
      <c r="U57" s="33"/>
      <c r="V57" s="34">
        <f t="shared" si="45"/>
        <v>0.109</v>
      </c>
    </row>
    <row r="58" spans="1:101" ht="63.75" customHeight="1">
      <c r="A58" s="24"/>
      <c r="B58" s="41" t="s">
        <v>268</v>
      </c>
      <c r="C58" s="35" t="s">
        <v>273</v>
      </c>
      <c r="D58" s="36" t="s">
        <v>146</v>
      </c>
      <c r="E58" s="35" t="s">
        <v>263</v>
      </c>
      <c r="F58" s="28">
        <f t="shared" ref="F58:F61" si="80">G58+H58+I58</f>
        <v>0</v>
      </c>
      <c r="G58" s="33">
        <v>0</v>
      </c>
      <c r="H58" s="33">
        <v>0</v>
      </c>
      <c r="I58" s="33"/>
      <c r="J58" s="28">
        <f t="shared" si="73"/>
        <v>0</v>
      </c>
      <c r="K58" s="33"/>
      <c r="L58" s="33"/>
      <c r="M58" s="33"/>
      <c r="N58" s="28">
        <f t="shared" si="74"/>
        <v>39933.4</v>
      </c>
      <c r="O58" s="33">
        <f>6061.8-4373.7</f>
        <v>1688.1</v>
      </c>
      <c r="P58" s="33">
        <f>137335-99089.7</f>
        <v>38245.300000000003</v>
      </c>
      <c r="Q58" s="33"/>
      <c r="R58" s="28">
        <f t="shared" si="75"/>
        <v>103463.4</v>
      </c>
      <c r="S58" s="33">
        <v>4373.7</v>
      </c>
      <c r="T58" s="33">
        <v>99089.7</v>
      </c>
      <c r="U58" s="33"/>
      <c r="V58" s="34" t="e">
        <f t="shared" si="45"/>
        <v>#DIV/0!</v>
      </c>
    </row>
    <row r="59" spans="1:101" ht="75" customHeight="1">
      <c r="A59" s="24"/>
      <c r="B59" s="41" t="s">
        <v>269</v>
      </c>
      <c r="C59" s="35" t="s">
        <v>257</v>
      </c>
      <c r="D59" s="36" t="s">
        <v>17</v>
      </c>
      <c r="E59" s="35" t="s">
        <v>264</v>
      </c>
      <c r="F59" s="28">
        <f t="shared" si="80"/>
        <v>50201.2</v>
      </c>
      <c r="G59" s="33">
        <f>1108.4+1013.8</f>
        <v>2122.1999999999998</v>
      </c>
      <c r="H59" s="33">
        <f>25110.5+0.2+22968.3</f>
        <v>48079</v>
      </c>
      <c r="I59" s="33"/>
      <c r="J59" s="28">
        <f t="shared" si="73"/>
        <v>16311.6</v>
      </c>
      <c r="K59" s="33">
        <v>689.5</v>
      </c>
      <c r="L59" s="33">
        <v>15622.1</v>
      </c>
      <c r="M59" s="33"/>
      <c r="N59" s="28">
        <f t="shared" si="74"/>
        <v>26908.1</v>
      </c>
      <c r="O59" s="33">
        <v>1137.5</v>
      </c>
      <c r="P59" s="33">
        <v>25770.6</v>
      </c>
      <c r="Q59" s="33"/>
      <c r="R59" s="28">
        <f t="shared" si="75"/>
        <v>28509.1</v>
      </c>
      <c r="S59" s="33">
        <v>1205.2</v>
      </c>
      <c r="T59" s="33">
        <v>27303.9</v>
      </c>
      <c r="U59" s="33"/>
      <c r="V59" s="34">
        <f t="shared" si="45"/>
        <v>0.32500000000000001</v>
      </c>
    </row>
    <row r="60" spans="1:101" ht="125.25" customHeight="1">
      <c r="A60" s="24"/>
      <c r="B60" s="41" t="s">
        <v>270</v>
      </c>
      <c r="C60" s="35" t="s">
        <v>257</v>
      </c>
      <c r="D60" s="36" t="s">
        <v>17</v>
      </c>
      <c r="E60" s="35" t="s">
        <v>265</v>
      </c>
      <c r="F60" s="28">
        <f t="shared" si="80"/>
        <v>177194</v>
      </c>
      <c r="G60" s="33">
        <f>5218.1+2272.4</f>
        <v>7490.5</v>
      </c>
      <c r="H60" s="33">
        <f>118219.3+51484.2</f>
        <v>169703.5</v>
      </c>
      <c r="I60" s="33"/>
      <c r="J60" s="28">
        <f t="shared" si="73"/>
        <v>655.4</v>
      </c>
      <c r="K60" s="33">
        <v>27.7</v>
      </c>
      <c r="L60" s="33">
        <v>627.70000000000005</v>
      </c>
      <c r="M60" s="33"/>
      <c r="N60" s="28">
        <f t="shared" si="74"/>
        <v>153197.6</v>
      </c>
      <c r="O60" s="33">
        <f>6476.1+0.1</f>
        <v>6476.2</v>
      </c>
      <c r="P60" s="33">
        <v>146721.4</v>
      </c>
      <c r="Q60" s="33"/>
      <c r="R60" s="28">
        <f t="shared" si="75"/>
        <v>0</v>
      </c>
      <c r="S60" s="33">
        <v>0</v>
      </c>
      <c r="T60" s="33">
        <v>0</v>
      </c>
      <c r="U60" s="33"/>
      <c r="V60" s="34">
        <f t="shared" si="45"/>
        <v>4.0000000000000001E-3</v>
      </c>
    </row>
    <row r="61" spans="1:101" ht="152.25" customHeight="1">
      <c r="A61" s="24"/>
      <c r="B61" s="41" t="s">
        <v>271</v>
      </c>
      <c r="C61" s="35" t="s">
        <v>257</v>
      </c>
      <c r="D61" s="36" t="s">
        <v>17</v>
      </c>
      <c r="E61" s="35" t="s">
        <v>266</v>
      </c>
      <c r="F61" s="28">
        <f t="shared" si="80"/>
        <v>156256.29999999999</v>
      </c>
      <c r="G61" s="33">
        <f>5888.5+717</f>
        <v>6605.5</v>
      </c>
      <c r="H61" s="33">
        <f>133408.9+16241.9</f>
        <v>149650.79999999999</v>
      </c>
      <c r="I61" s="33"/>
      <c r="J61" s="28">
        <f t="shared" si="73"/>
        <v>13585.4</v>
      </c>
      <c r="K61" s="33">
        <v>574.29999999999995</v>
      </c>
      <c r="L61" s="33">
        <v>13011.1</v>
      </c>
      <c r="M61" s="33"/>
      <c r="N61" s="28">
        <f t="shared" si="74"/>
        <v>0</v>
      </c>
      <c r="O61" s="33">
        <v>0</v>
      </c>
      <c r="P61" s="33">
        <v>0</v>
      </c>
      <c r="Q61" s="33"/>
      <c r="R61" s="28">
        <f t="shared" si="75"/>
        <v>0</v>
      </c>
      <c r="S61" s="33">
        <v>0</v>
      </c>
      <c r="T61" s="33">
        <v>0</v>
      </c>
      <c r="U61" s="33"/>
      <c r="V61" s="34">
        <f t="shared" si="45"/>
        <v>8.6999999999999994E-2</v>
      </c>
    </row>
    <row r="62" spans="1:101" ht="77.25" customHeight="1">
      <c r="A62" s="24"/>
      <c r="B62" s="41" t="s">
        <v>346</v>
      </c>
      <c r="C62" s="35">
        <v>811</v>
      </c>
      <c r="D62" s="36" t="s">
        <v>17</v>
      </c>
      <c r="E62" s="35" t="s">
        <v>345</v>
      </c>
      <c r="F62" s="28">
        <f t="shared" ref="F62" si="81">G62+H62+I62</f>
        <v>50000</v>
      </c>
      <c r="G62" s="33">
        <v>2113.6999999999998</v>
      </c>
      <c r="H62" s="33">
        <v>47886.34</v>
      </c>
      <c r="I62" s="33"/>
      <c r="J62" s="28">
        <f t="shared" ref="J62" si="82">K62+L62+M62</f>
        <v>0</v>
      </c>
      <c r="K62" s="33"/>
      <c r="L62" s="33"/>
      <c r="M62" s="33"/>
      <c r="N62" s="28">
        <f t="shared" ref="N62" si="83">O62+P62+Q62</f>
        <v>0</v>
      </c>
      <c r="O62" s="33">
        <v>0</v>
      </c>
      <c r="P62" s="33">
        <v>0</v>
      </c>
      <c r="Q62" s="33"/>
      <c r="R62" s="28">
        <f t="shared" ref="R62" si="84">S62+T62+U62</f>
        <v>0</v>
      </c>
      <c r="S62" s="33">
        <v>0</v>
      </c>
      <c r="T62" s="33">
        <v>0</v>
      </c>
      <c r="U62" s="33"/>
      <c r="V62" s="34">
        <f t="shared" ref="V62" si="85">J62/F62</f>
        <v>0</v>
      </c>
    </row>
    <row r="63" spans="1:101" ht="49.5" customHeight="1">
      <c r="A63" s="24"/>
      <c r="B63" s="41" t="s">
        <v>272</v>
      </c>
      <c r="C63" s="35">
        <v>811</v>
      </c>
      <c r="D63" s="36" t="s">
        <v>17</v>
      </c>
      <c r="E63" s="35" t="s">
        <v>267</v>
      </c>
      <c r="F63" s="28">
        <f>G63+H63+I63</f>
        <v>44080.3</v>
      </c>
      <c r="G63" s="33">
        <v>1863.4</v>
      </c>
      <c r="H63" s="33">
        <f>42216.9</f>
        <v>42216.9</v>
      </c>
      <c r="I63" s="33"/>
      <c r="J63" s="28">
        <f t="shared" ref="J63" si="86">K63+L63+M63</f>
        <v>0</v>
      </c>
      <c r="K63" s="33"/>
      <c r="L63" s="33"/>
      <c r="M63" s="33"/>
      <c r="N63" s="28">
        <f t="shared" ref="N63" si="87">O63+P63+Q63</f>
        <v>0</v>
      </c>
      <c r="O63" s="33"/>
      <c r="P63" s="33"/>
      <c r="Q63" s="33"/>
      <c r="R63" s="28">
        <f t="shared" ref="R63" si="88">S63+T63+U63</f>
        <v>0</v>
      </c>
      <c r="S63" s="33"/>
      <c r="T63" s="33"/>
      <c r="U63" s="33"/>
      <c r="V63" s="34">
        <f t="shared" ref="V63" si="89">J63/F63</f>
        <v>0</v>
      </c>
    </row>
    <row r="64" spans="1:101" ht="69" customHeight="1">
      <c r="A64" s="24"/>
      <c r="B64" s="41" t="s">
        <v>272</v>
      </c>
      <c r="C64" s="35" t="s">
        <v>258</v>
      </c>
      <c r="D64" s="36" t="s">
        <v>19</v>
      </c>
      <c r="E64" s="35" t="s">
        <v>267</v>
      </c>
      <c r="F64" s="28">
        <f>G64+H64+I64</f>
        <v>466575.7</v>
      </c>
      <c r="G64" s="33">
        <f>13717.7+8461.98+432.5-2888.5</f>
        <v>19723.7</v>
      </c>
      <c r="H64" s="33">
        <f>310783.4-42216.92+9798.8+233928.2-65441.5</f>
        <v>446852</v>
      </c>
      <c r="I64" s="33"/>
      <c r="J64" s="28">
        <f t="shared" si="73"/>
        <v>41328.400000000001</v>
      </c>
      <c r="K64" s="33">
        <f>617.7+653.7+475.7</f>
        <v>1747.1</v>
      </c>
      <c r="L64" s="33">
        <f>28804.2+10777.1</f>
        <v>39581.300000000003</v>
      </c>
      <c r="M64" s="33"/>
      <c r="N64" s="28">
        <f t="shared" si="74"/>
        <v>439911.2</v>
      </c>
      <c r="O64" s="33">
        <f>16140.5-432.5+2888.5</f>
        <v>18596.5</v>
      </c>
      <c r="P64" s="33">
        <f>355873.2+65441.5</f>
        <v>421314.7</v>
      </c>
      <c r="Q64" s="33"/>
      <c r="R64" s="28">
        <f t="shared" si="75"/>
        <v>532690.9</v>
      </c>
      <c r="S64" s="33">
        <f>25407.1-2888.5</f>
        <v>22518.6</v>
      </c>
      <c r="T64" s="33">
        <f>575613.8-65441.5</f>
        <v>510172.3</v>
      </c>
      <c r="U64" s="33"/>
      <c r="V64" s="34">
        <f t="shared" si="45"/>
        <v>8.8999999999999996E-2</v>
      </c>
    </row>
    <row r="65" spans="1:22" ht="24" customHeight="1">
      <c r="A65" s="19" t="s">
        <v>44</v>
      </c>
      <c r="B65" s="20" t="s">
        <v>45</v>
      </c>
      <c r="C65" s="44" t="s">
        <v>12</v>
      </c>
      <c r="D65" s="44" t="s">
        <v>12</v>
      </c>
      <c r="E65" s="44" t="s">
        <v>12</v>
      </c>
      <c r="F65" s="45">
        <f t="shared" si="44"/>
        <v>1814837.6</v>
      </c>
      <c r="G65" s="45">
        <f>G66+G82+G89+G97+G100</f>
        <v>754542.6</v>
      </c>
      <c r="H65" s="45">
        <f>H66+H82+H89+H97+H100</f>
        <v>1039850.1</v>
      </c>
      <c r="I65" s="45">
        <f t="shared" ref="I65" si="90">I66+I82+I89+I97+I100</f>
        <v>20444.900000000001</v>
      </c>
      <c r="J65" s="45">
        <f t="shared" si="73"/>
        <v>496304.6</v>
      </c>
      <c r="K65" s="45">
        <f>K66+K82+K89+K97+K100</f>
        <v>135609.5</v>
      </c>
      <c r="L65" s="45">
        <f t="shared" ref="L65:M65" si="91">L66+L82+L89+L97+L100</f>
        <v>360408.9</v>
      </c>
      <c r="M65" s="45">
        <f t="shared" si="91"/>
        <v>286.2</v>
      </c>
      <c r="N65" s="45">
        <f t="shared" si="74"/>
        <v>839538</v>
      </c>
      <c r="O65" s="45">
        <f>O66+O82+O89+O97+O100</f>
        <v>274284.79999999999</v>
      </c>
      <c r="P65" s="45">
        <f t="shared" ref="P65:Q65" si="92">P66+P82+P89+P97+P100</f>
        <v>565253.19999999995</v>
      </c>
      <c r="Q65" s="45">
        <f t="shared" si="92"/>
        <v>0</v>
      </c>
      <c r="R65" s="45">
        <f t="shared" si="75"/>
        <v>1053173.8</v>
      </c>
      <c r="S65" s="45">
        <f>S66+S82+S89+S97+S100</f>
        <v>41075.1</v>
      </c>
      <c r="T65" s="45">
        <f t="shared" ref="T65:U65" si="93">T66+T82+T89+T97+T100</f>
        <v>1012098.7</v>
      </c>
      <c r="U65" s="45">
        <f t="shared" si="93"/>
        <v>0</v>
      </c>
      <c r="V65" s="46">
        <f t="shared" si="45"/>
        <v>0.27300000000000002</v>
      </c>
    </row>
    <row r="66" spans="1:22" ht="42.75" customHeight="1">
      <c r="A66" s="11" t="s">
        <v>46</v>
      </c>
      <c r="B66" s="48" t="s">
        <v>47</v>
      </c>
      <c r="C66" s="58" t="s">
        <v>12</v>
      </c>
      <c r="D66" s="58" t="s">
        <v>12</v>
      </c>
      <c r="E66" s="62" t="s">
        <v>12</v>
      </c>
      <c r="F66" s="28">
        <f t="shared" si="44"/>
        <v>1559483.2</v>
      </c>
      <c r="G66" s="28">
        <f>SUM(G68:G81)</f>
        <v>705423.5</v>
      </c>
      <c r="H66" s="28">
        <f>SUM(H68:H81)</f>
        <v>833623.6</v>
      </c>
      <c r="I66" s="28">
        <f>SUM(I68:I81)</f>
        <v>20436.099999999999</v>
      </c>
      <c r="J66" s="28">
        <f t="shared" si="73"/>
        <v>354223.1</v>
      </c>
      <c r="K66" s="28">
        <f>SUM(K68:K81)</f>
        <v>92194.9</v>
      </c>
      <c r="L66" s="28">
        <f>SUM(L68:L81)</f>
        <v>261744.6</v>
      </c>
      <c r="M66" s="28">
        <f>SUM(M68:M81)</f>
        <v>283.60000000000002</v>
      </c>
      <c r="N66" s="27">
        <f>O66+P66+Q66</f>
        <v>305230.5</v>
      </c>
      <c r="O66" s="28">
        <f>SUM(O68:O81)</f>
        <v>72361.899999999994</v>
      </c>
      <c r="P66" s="28">
        <f t="shared" ref="P66" si="94">SUM(P68:P81)</f>
        <v>232868.6</v>
      </c>
      <c r="Q66" s="28">
        <f>SUM(Q68:Q81)</f>
        <v>0</v>
      </c>
      <c r="R66" s="28">
        <f t="shared" ref="R66" si="95">SUM(R68:R81)</f>
        <v>966508.2</v>
      </c>
      <c r="S66" s="28">
        <f>SUM(S68:S81)</f>
        <v>8709.4</v>
      </c>
      <c r="T66" s="28">
        <f>SUM(T68:T81)</f>
        <v>957798.8</v>
      </c>
      <c r="U66" s="28">
        <f>SUM(U68:U81)</f>
        <v>0</v>
      </c>
      <c r="V66" s="38">
        <f t="shared" si="45"/>
        <v>0.22700000000000001</v>
      </c>
    </row>
    <row r="67" spans="1:22" ht="18.75">
      <c r="A67" s="39"/>
      <c r="B67" s="40" t="s">
        <v>15</v>
      </c>
      <c r="C67" s="32"/>
      <c r="D67" s="32"/>
      <c r="E67" s="32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38"/>
    </row>
    <row r="68" spans="1:22" ht="61.5" customHeight="1">
      <c r="A68" s="39"/>
      <c r="B68" s="41" t="s">
        <v>274</v>
      </c>
      <c r="C68" s="35" t="s">
        <v>280</v>
      </c>
      <c r="D68" s="36" t="s">
        <v>48</v>
      </c>
      <c r="E68" s="59" t="s">
        <v>281</v>
      </c>
      <c r="F68" s="28">
        <f t="shared" si="44"/>
        <v>0</v>
      </c>
      <c r="G68" s="33"/>
      <c r="H68" s="33"/>
      <c r="I68" s="33"/>
      <c r="J68" s="28">
        <f t="shared" ref="J68:J82" si="96">K68+L68+M68</f>
        <v>0</v>
      </c>
      <c r="K68" s="33"/>
      <c r="L68" s="33"/>
      <c r="M68" s="33"/>
      <c r="N68" s="27">
        <f t="shared" ref="N68:N82" si="97">O68+P68+Q68</f>
        <v>50000</v>
      </c>
      <c r="O68" s="33">
        <f>59090.9-9090.9</f>
        <v>50000</v>
      </c>
      <c r="P68" s="33"/>
      <c r="Q68" s="33"/>
      <c r="R68" s="27">
        <f t="shared" ref="R68:R82" si="98">S68+T68+U68</f>
        <v>0</v>
      </c>
      <c r="S68" s="33">
        <v>0</v>
      </c>
      <c r="T68" s="33"/>
      <c r="U68" s="33"/>
      <c r="V68" s="34" t="e">
        <f t="shared" si="45"/>
        <v>#DIV/0!</v>
      </c>
    </row>
    <row r="69" spans="1:22" ht="66" customHeight="1">
      <c r="A69" s="39"/>
      <c r="B69" s="41" t="s">
        <v>251</v>
      </c>
      <c r="C69" s="35" t="s">
        <v>280</v>
      </c>
      <c r="D69" s="36" t="s">
        <v>48</v>
      </c>
      <c r="E69" s="59" t="s">
        <v>249</v>
      </c>
      <c r="F69" s="27">
        <f t="shared" si="44"/>
        <v>82225.8</v>
      </c>
      <c r="G69" s="33">
        <f>97078.8-14935.2</f>
        <v>82143.600000000006</v>
      </c>
      <c r="H69" s="33"/>
      <c r="I69" s="33">
        <v>82.2</v>
      </c>
      <c r="J69" s="27">
        <f t="shared" si="96"/>
        <v>82186.899999999994</v>
      </c>
      <c r="K69" s="33">
        <v>82143.600000000006</v>
      </c>
      <c r="L69" s="33"/>
      <c r="M69" s="33">
        <v>43.3</v>
      </c>
      <c r="N69" s="27">
        <f t="shared" si="97"/>
        <v>0</v>
      </c>
      <c r="O69" s="33">
        <v>0</v>
      </c>
      <c r="P69" s="33"/>
      <c r="Q69" s="33"/>
      <c r="R69" s="27">
        <f t="shared" si="98"/>
        <v>0</v>
      </c>
      <c r="S69" s="33">
        <v>0</v>
      </c>
      <c r="T69" s="33"/>
      <c r="U69" s="33"/>
      <c r="V69" s="34">
        <f t="shared" si="45"/>
        <v>1</v>
      </c>
    </row>
    <row r="70" spans="1:22" ht="66" customHeight="1">
      <c r="A70" s="39"/>
      <c r="B70" s="41" t="s">
        <v>351</v>
      </c>
      <c r="C70" s="35" t="s">
        <v>258</v>
      </c>
      <c r="D70" s="36" t="s">
        <v>19</v>
      </c>
      <c r="E70" s="59" t="s">
        <v>350</v>
      </c>
      <c r="F70" s="27">
        <f t="shared" ref="F70" si="99">G70+H70+I70</f>
        <v>47988.9</v>
      </c>
      <c r="G70" s="33">
        <v>35991.599999999999</v>
      </c>
      <c r="H70" s="33"/>
      <c r="I70" s="33">
        <v>11997.3</v>
      </c>
      <c r="J70" s="27">
        <f t="shared" ref="J70" si="100">K70+L70+M70</f>
        <v>0</v>
      </c>
      <c r="K70" s="33"/>
      <c r="L70" s="33"/>
      <c r="M70" s="33"/>
      <c r="N70" s="27">
        <f t="shared" ref="N70" si="101">O70+P70+Q70</f>
        <v>0</v>
      </c>
      <c r="O70" s="33"/>
      <c r="P70" s="33"/>
      <c r="Q70" s="33"/>
      <c r="R70" s="27">
        <f t="shared" ref="R70" si="102">S70+T70+U70</f>
        <v>0</v>
      </c>
      <c r="S70" s="33"/>
      <c r="T70" s="33"/>
      <c r="U70" s="33"/>
      <c r="V70" s="34">
        <f t="shared" ref="V70" si="103">J70/F70</f>
        <v>0</v>
      </c>
    </row>
    <row r="71" spans="1:22" ht="70.5" customHeight="1">
      <c r="A71" s="39"/>
      <c r="B71" s="41" t="s">
        <v>223</v>
      </c>
      <c r="C71" s="35" t="s">
        <v>280</v>
      </c>
      <c r="D71" s="36" t="s">
        <v>48</v>
      </c>
      <c r="E71" s="59" t="s">
        <v>132</v>
      </c>
      <c r="F71" s="27">
        <f t="shared" si="44"/>
        <v>43468.800000000003</v>
      </c>
      <c r="G71" s="33">
        <v>5426.66</v>
      </c>
      <c r="H71" s="33">
        <v>38042.1</v>
      </c>
      <c r="I71" s="33"/>
      <c r="J71" s="27">
        <f t="shared" si="96"/>
        <v>17016.900000000001</v>
      </c>
      <c r="K71" s="33">
        <v>1482.6</v>
      </c>
      <c r="L71" s="33">
        <v>15534.3</v>
      </c>
      <c r="M71" s="33"/>
      <c r="N71" s="27">
        <f t="shared" si="97"/>
        <v>41948.7</v>
      </c>
      <c r="O71" s="33">
        <v>5433.9</v>
      </c>
      <c r="P71" s="33">
        <v>36514.800000000003</v>
      </c>
      <c r="Q71" s="33"/>
      <c r="R71" s="27">
        <f t="shared" si="98"/>
        <v>35804.6</v>
      </c>
      <c r="S71" s="33">
        <v>5249.6</v>
      </c>
      <c r="T71" s="33">
        <v>30555</v>
      </c>
      <c r="U71" s="33"/>
      <c r="V71" s="34">
        <f t="shared" si="45"/>
        <v>0.39100000000000001</v>
      </c>
    </row>
    <row r="72" spans="1:22" ht="41.25" customHeight="1">
      <c r="A72" s="39"/>
      <c r="B72" s="41" t="s">
        <v>275</v>
      </c>
      <c r="C72" s="35" t="s">
        <v>280</v>
      </c>
      <c r="D72" s="36" t="s">
        <v>48</v>
      </c>
      <c r="E72" s="59" t="s">
        <v>282</v>
      </c>
      <c r="F72" s="27">
        <f t="shared" ref="F72:F73" si="104">G72+H72+I72</f>
        <v>0</v>
      </c>
      <c r="G72" s="33">
        <v>0</v>
      </c>
      <c r="H72" s="33">
        <v>0</v>
      </c>
      <c r="I72" s="33"/>
      <c r="J72" s="27">
        <f t="shared" ref="J72:J73" si="105">K72+L72+M72</f>
        <v>0</v>
      </c>
      <c r="K72" s="33"/>
      <c r="L72" s="33"/>
      <c r="M72" s="33"/>
      <c r="N72" s="27">
        <f t="shared" ref="N72:N73" si="106">O72+P72+Q72</f>
        <v>0</v>
      </c>
      <c r="O72" s="33">
        <v>0</v>
      </c>
      <c r="P72" s="33">
        <v>0</v>
      </c>
      <c r="Q72" s="33"/>
      <c r="R72" s="27">
        <f t="shared" ref="R72:R73" si="107">S72+T72+U72</f>
        <v>63326.6</v>
      </c>
      <c r="S72" s="33">
        <v>1899.8</v>
      </c>
      <c r="T72" s="33">
        <v>61426.8</v>
      </c>
      <c r="U72" s="33"/>
      <c r="V72" s="34" t="e">
        <f t="shared" ref="V72:V73" si="108">J72/F72</f>
        <v>#DIV/0!</v>
      </c>
    </row>
    <row r="73" spans="1:22" ht="60.75" customHeight="1">
      <c r="A73" s="39"/>
      <c r="B73" s="41" t="s">
        <v>133</v>
      </c>
      <c r="C73" s="35" t="s">
        <v>280</v>
      </c>
      <c r="D73" s="36" t="s">
        <v>48</v>
      </c>
      <c r="E73" s="59" t="s">
        <v>134</v>
      </c>
      <c r="F73" s="27">
        <f t="shared" si="104"/>
        <v>15899.6</v>
      </c>
      <c r="G73" s="33">
        <v>476.99</v>
      </c>
      <c r="H73" s="33">
        <v>15422.6</v>
      </c>
      <c r="I73" s="33"/>
      <c r="J73" s="27">
        <f t="shared" si="105"/>
        <v>13673.5</v>
      </c>
      <c r="K73" s="33">
        <v>410.2</v>
      </c>
      <c r="L73" s="33">
        <v>13263.3</v>
      </c>
      <c r="M73" s="33"/>
      <c r="N73" s="27">
        <f t="shared" si="106"/>
        <v>32216.799999999999</v>
      </c>
      <c r="O73" s="33">
        <v>10548</v>
      </c>
      <c r="P73" s="33">
        <v>21668.799999999999</v>
      </c>
      <c r="Q73" s="33"/>
      <c r="R73" s="27">
        <f t="shared" si="107"/>
        <v>0</v>
      </c>
      <c r="S73" s="33">
        <v>0</v>
      </c>
      <c r="T73" s="33"/>
      <c r="U73" s="33"/>
      <c r="V73" s="34">
        <f t="shared" si="108"/>
        <v>0.86</v>
      </c>
    </row>
    <row r="74" spans="1:22" ht="77.25" customHeight="1">
      <c r="A74" s="39"/>
      <c r="B74" s="41" t="s">
        <v>334</v>
      </c>
      <c r="C74" s="35" t="s">
        <v>258</v>
      </c>
      <c r="D74" s="36" t="s">
        <v>19</v>
      </c>
      <c r="E74" s="59" t="s">
        <v>235</v>
      </c>
      <c r="F74" s="27">
        <f t="shared" si="44"/>
        <v>216599.3</v>
      </c>
      <c r="G74" s="33">
        <v>213549.3</v>
      </c>
      <c r="H74" s="33"/>
      <c r="I74" s="33">
        <v>3050</v>
      </c>
      <c r="J74" s="27">
        <f t="shared" si="96"/>
        <v>5.2</v>
      </c>
      <c r="K74" s="33">
        <v>5.2</v>
      </c>
      <c r="L74" s="33"/>
      <c r="M74" s="33"/>
      <c r="N74" s="27">
        <f t="shared" si="97"/>
        <v>0</v>
      </c>
      <c r="O74" s="33">
        <v>0</v>
      </c>
      <c r="P74" s="33"/>
      <c r="Q74" s="33"/>
      <c r="R74" s="27">
        <f t="shared" si="98"/>
        <v>0</v>
      </c>
      <c r="S74" s="33">
        <v>0</v>
      </c>
      <c r="T74" s="33"/>
      <c r="U74" s="33"/>
      <c r="V74" s="34">
        <f>J74/F74</f>
        <v>0</v>
      </c>
    </row>
    <row r="75" spans="1:22" ht="90.75" customHeight="1">
      <c r="A75" s="39"/>
      <c r="B75" s="41" t="s">
        <v>338</v>
      </c>
      <c r="C75" s="35" t="s">
        <v>280</v>
      </c>
      <c r="D75" s="36" t="s">
        <v>48</v>
      </c>
      <c r="E75" s="59" t="s">
        <v>337</v>
      </c>
      <c r="F75" s="27">
        <f t="shared" ref="F75" si="109">G75+H75+I75</f>
        <v>0</v>
      </c>
      <c r="G75" s="33"/>
      <c r="H75" s="33"/>
      <c r="I75" s="33"/>
      <c r="J75" s="27">
        <f t="shared" ref="J75" si="110">K75+L75+M75</f>
        <v>0</v>
      </c>
      <c r="K75" s="33"/>
      <c r="L75" s="33"/>
      <c r="M75" s="33"/>
      <c r="N75" s="27">
        <f t="shared" ref="N75" si="111">O75+P75+Q75</f>
        <v>14000</v>
      </c>
      <c r="O75" s="33">
        <v>1820</v>
      </c>
      <c r="P75" s="33">
        <v>12180</v>
      </c>
      <c r="Q75" s="33"/>
      <c r="R75" s="27">
        <f t="shared" ref="R75" si="112">S75+T75+U75</f>
        <v>12000</v>
      </c>
      <c r="S75" s="33">
        <v>1560</v>
      </c>
      <c r="T75" s="33">
        <v>10440</v>
      </c>
      <c r="U75" s="33"/>
      <c r="V75" s="34" t="e">
        <f>J75/F75</f>
        <v>#DIV/0!</v>
      </c>
    </row>
    <row r="76" spans="1:22" ht="60.75" customHeight="1">
      <c r="A76" s="39"/>
      <c r="B76" s="41" t="s">
        <v>252</v>
      </c>
      <c r="C76" s="35" t="s">
        <v>258</v>
      </c>
      <c r="D76" s="36" t="s">
        <v>19</v>
      </c>
      <c r="E76" s="59" t="s">
        <v>250</v>
      </c>
      <c r="F76" s="27">
        <f t="shared" si="44"/>
        <v>493148.8</v>
      </c>
      <c r="G76" s="33">
        <v>14779.7</v>
      </c>
      <c r="H76" s="33">
        <v>477876</v>
      </c>
      <c r="I76" s="33">
        <v>493.1</v>
      </c>
      <c r="J76" s="27">
        <f t="shared" si="96"/>
        <v>240391.9</v>
      </c>
      <c r="K76" s="33">
        <v>7204.6</v>
      </c>
      <c r="L76" s="33">
        <v>232947</v>
      </c>
      <c r="M76" s="33">
        <v>240.3</v>
      </c>
      <c r="N76" s="27">
        <f t="shared" si="97"/>
        <v>131987.9</v>
      </c>
      <c r="O76" s="33">
        <v>0</v>
      </c>
      <c r="P76" s="33">
        <v>131987.9</v>
      </c>
      <c r="Q76" s="33"/>
      <c r="R76" s="27">
        <f t="shared" si="98"/>
        <v>855377</v>
      </c>
      <c r="S76" s="33">
        <v>0</v>
      </c>
      <c r="T76" s="33">
        <v>855377</v>
      </c>
      <c r="U76" s="33"/>
      <c r="V76" s="34">
        <f>J76/F76</f>
        <v>0.48699999999999999</v>
      </c>
    </row>
    <row r="77" spans="1:22" ht="69.75" customHeight="1">
      <c r="A77" s="39"/>
      <c r="B77" s="41" t="s">
        <v>276</v>
      </c>
      <c r="C77" s="35" t="s">
        <v>258</v>
      </c>
      <c r="D77" s="36" t="s">
        <v>19</v>
      </c>
      <c r="E77" s="59" t="s">
        <v>283</v>
      </c>
      <c r="F77" s="27">
        <f t="shared" si="44"/>
        <v>307200.40000000002</v>
      </c>
      <c r="G77" s="33">
        <v>306886.90000000002</v>
      </c>
      <c r="H77" s="33"/>
      <c r="I77" s="33">
        <v>313.5</v>
      </c>
      <c r="J77" s="27">
        <f t="shared" si="96"/>
        <v>0</v>
      </c>
      <c r="K77" s="33"/>
      <c r="L77" s="33"/>
      <c r="M77" s="33"/>
      <c r="N77" s="27">
        <f t="shared" si="97"/>
        <v>0</v>
      </c>
      <c r="O77" s="33">
        <v>0</v>
      </c>
      <c r="P77" s="33"/>
      <c r="Q77" s="33"/>
      <c r="R77" s="27">
        <f t="shared" si="98"/>
        <v>0</v>
      </c>
      <c r="S77" s="33">
        <v>0</v>
      </c>
      <c r="T77" s="33"/>
      <c r="U77" s="33"/>
      <c r="V77" s="34">
        <f t="shared" si="45"/>
        <v>0</v>
      </c>
    </row>
    <row r="78" spans="1:22" ht="39.75" customHeight="1">
      <c r="A78" s="39"/>
      <c r="B78" s="41" t="s">
        <v>277</v>
      </c>
      <c r="C78" s="35" t="s">
        <v>258</v>
      </c>
      <c r="D78" s="36" t="s">
        <v>19</v>
      </c>
      <c r="E78" s="59" t="s">
        <v>135</v>
      </c>
      <c r="F78" s="27">
        <f t="shared" ref="F78:F79" si="113">G78+H78+I78</f>
        <v>4500</v>
      </c>
      <c r="G78" s="33">
        <f>45168.7-45168.7</f>
        <v>0</v>
      </c>
      <c r="H78" s="33"/>
      <c r="I78" s="33">
        <v>4500</v>
      </c>
      <c r="J78" s="27">
        <f t="shared" ref="J78" si="114">K78+L78+M78</f>
        <v>0</v>
      </c>
      <c r="K78" s="33"/>
      <c r="L78" s="33"/>
      <c r="M78" s="33"/>
      <c r="N78" s="27">
        <f t="shared" ref="N78:N79" si="115">O78+P78+Q78</f>
        <v>35077.1</v>
      </c>
      <c r="O78" s="33">
        <v>4560</v>
      </c>
      <c r="P78" s="33">
        <v>30517.1</v>
      </c>
      <c r="Q78" s="33"/>
      <c r="R78" s="27">
        <f t="shared" ref="R78:R79" si="116">S78+T78+U78</f>
        <v>0</v>
      </c>
      <c r="S78" s="33">
        <v>0</v>
      </c>
      <c r="T78" s="33">
        <v>0</v>
      </c>
      <c r="U78" s="33"/>
      <c r="V78" s="34">
        <f t="shared" ref="V78:V79" si="117">J78/F78</f>
        <v>0</v>
      </c>
    </row>
    <row r="79" spans="1:22" ht="39.75" customHeight="1">
      <c r="A79" s="39"/>
      <c r="B79" s="41" t="s">
        <v>277</v>
      </c>
      <c r="C79" s="35" t="s">
        <v>280</v>
      </c>
      <c r="D79" s="36" t="s">
        <v>48</v>
      </c>
      <c r="E79" s="59" t="s">
        <v>135</v>
      </c>
      <c r="F79" s="27">
        <f t="shared" si="113"/>
        <v>347451.6</v>
      </c>
      <c r="G79" s="33">
        <v>45168.7</v>
      </c>
      <c r="H79" s="33">
        <v>302282.90000000002</v>
      </c>
      <c r="I79" s="33"/>
      <c r="J79" s="27"/>
      <c r="K79" s="33"/>
      <c r="L79" s="33" t="s">
        <v>367</v>
      </c>
      <c r="M79" s="33"/>
      <c r="N79" s="27">
        <f t="shared" si="115"/>
        <v>0</v>
      </c>
      <c r="O79" s="33"/>
      <c r="P79" s="33"/>
      <c r="Q79" s="33"/>
      <c r="R79" s="27">
        <f t="shared" si="116"/>
        <v>0</v>
      </c>
      <c r="S79" s="33"/>
      <c r="T79" s="33"/>
      <c r="U79" s="33"/>
      <c r="V79" s="34">
        <f t="shared" si="117"/>
        <v>0</v>
      </c>
    </row>
    <row r="80" spans="1:22" ht="58.5" customHeight="1">
      <c r="A80" s="39"/>
      <c r="B80" s="41" t="s">
        <v>278</v>
      </c>
      <c r="C80" s="35" t="s">
        <v>280</v>
      </c>
      <c r="D80" s="36" t="s">
        <v>48</v>
      </c>
      <c r="E80" s="59" t="s">
        <v>284</v>
      </c>
      <c r="F80" s="27">
        <f t="shared" ref="F80" si="118">G80+H80+I80</f>
        <v>0</v>
      </c>
      <c r="G80" s="33">
        <f>22384.2-22384.2</f>
        <v>0</v>
      </c>
      <c r="H80" s="33"/>
      <c r="I80" s="33"/>
      <c r="J80" s="27">
        <f t="shared" ref="J80" si="119">K80+L80+M80</f>
        <v>0</v>
      </c>
      <c r="K80" s="33"/>
      <c r="L80" s="33"/>
      <c r="M80" s="33"/>
      <c r="N80" s="27">
        <f t="shared" ref="N80" si="120">O80+P80+Q80</f>
        <v>0</v>
      </c>
      <c r="O80" s="33">
        <f>91106.8-91106.8</f>
        <v>0</v>
      </c>
      <c r="P80" s="33"/>
      <c r="Q80" s="33"/>
      <c r="R80" s="27">
        <f t="shared" ref="R80" si="121">S80+T80+U80</f>
        <v>0</v>
      </c>
      <c r="S80" s="33">
        <f>50012.8-50012.8</f>
        <v>0</v>
      </c>
      <c r="T80" s="33"/>
      <c r="U80" s="33"/>
      <c r="V80" s="34" t="e">
        <f t="shared" ref="V80" si="122">J80/F80</f>
        <v>#DIV/0!</v>
      </c>
    </row>
    <row r="81" spans="1:22" ht="108.75" customHeight="1">
      <c r="A81" s="39"/>
      <c r="B81" s="41" t="s">
        <v>279</v>
      </c>
      <c r="C81" s="35" t="s">
        <v>280</v>
      </c>
      <c r="D81" s="36" t="s">
        <v>48</v>
      </c>
      <c r="E81" s="59" t="s">
        <v>285</v>
      </c>
      <c r="F81" s="28">
        <f t="shared" ref="F81" si="123">G81+H81+I81</f>
        <v>1000</v>
      </c>
      <c r="G81" s="33">
        <v>1000</v>
      </c>
      <c r="H81" s="33"/>
      <c r="I81" s="33"/>
      <c r="J81" s="28">
        <f t="shared" ref="J81" si="124">K81+L81+M81</f>
        <v>948.7</v>
      </c>
      <c r="K81" s="33">
        <v>948.7</v>
      </c>
      <c r="L81" s="33"/>
      <c r="M81" s="33"/>
      <c r="N81" s="27">
        <f t="shared" ref="N81" si="125">O81+P81+Q81</f>
        <v>0</v>
      </c>
      <c r="O81" s="33">
        <v>0</v>
      </c>
      <c r="P81" s="33"/>
      <c r="Q81" s="33"/>
      <c r="R81" s="27">
        <f t="shared" ref="R81" si="126">S81+T81+U81</f>
        <v>0</v>
      </c>
      <c r="S81" s="33">
        <v>0</v>
      </c>
      <c r="T81" s="33"/>
      <c r="U81" s="33"/>
      <c r="V81" s="34">
        <f t="shared" ref="V81" si="127">J81/F81</f>
        <v>0.94899999999999995</v>
      </c>
    </row>
    <row r="82" spans="1:22" ht="34.5" customHeight="1">
      <c r="A82" s="24" t="s">
        <v>49</v>
      </c>
      <c r="B82" s="25" t="s">
        <v>55</v>
      </c>
      <c r="C82" s="26" t="s">
        <v>12</v>
      </c>
      <c r="D82" s="26" t="s">
        <v>12</v>
      </c>
      <c r="E82" s="26" t="s">
        <v>12</v>
      </c>
      <c r="F82" s="28">
        <f t="shared" si="44"/>
        <v>16110.5</v>
      </c>
      <c r="G82" s="28">
        <f>SUM(G84:G88)</f>
        <v>7584.4</v>
      </c>
      <c r="H82" s="28">
        <f>SUM(H84:H88)</f>
        <v>8517.2999999999993</v>
      </c>
      <c r="I82" s="28">
        <f>SUM(I84:I88)</f>
        <v>8.8000000000000007</v>
      </c>
      <c r="J82" s="28">
        <f t="shared" si="96"/>
        <v>9897.7999999999993</v>
      </c>
      <c r="K82" s="28">
        <f>SUM(K84:K88)</f>
        <v>7398.2</v>
      </c>
      <c r="L82" s="28">
        <f>SUM(L84:L88)</f>
        <v>2497</v>
      </c>
      <c r="M82" s="28">
        <f>SUM(M84:M88)</f>
        <v>2.6</v>
      </c>
      <c r="N82" s="27">
        <f t="shared" si="97"/>
        <v>350372</v>
      </c>
      <c r="O82" s="28">
        <f>SUM(O84:O88)</f>
        <v>150785.60000000001</v>
      </c>
      <c r="P82" s="28">
        <f>SUM(P84:P88)</f>
        <v>199586.4</v>
      </c>
      <c r="Q82" s="28">
        <f>SUM(Q84:Q88)</f>
        <v>0</v>
      </c>
      <c r="R82" s="27">
        <f t="shared" si="98"/>
        <v>16746.5</v>
      </c>
      <c r="S82" s="28">
        <f>SUM(S84:S88)</f>
        <v>502.4</v>
      </c>
      <c r="T82" s="28">
        <f>SUM(T84:T88)</f>
        <v>16244.1</v>
      </c>
      <c r="U82" s="28">
        <f>SUM(U84:U88)</f>
        <v>0</v>
      </c>
      <c r="V82" s="29">
        <f t="shared" si="45"/>
        <v>0.61399999999999999</v>
      </c>
    </row>
    <row r="83" spans="1:22" ht="18.75">
      <c r="A83" s="39"/>
      <c r="B83" s="40" t="s">
        <v>15</v>
      </c>
      <c r="C83" s="32"/>
      <c r="D83" s="32"/>
      <c r="E83" s="32"/>
      <c r="F83" s="28"/>
      <c r="G83" s="28"/>
      <c r="H83" s="28"/>
      <c r="I83" s="28"/>
      <c r="J83" s="28"/>
      <c r="K83" s="28"/>
      <c r="L83" s="28"/>
      <c r="M83" s="28"/>
      <c r="N83" s="27"/>
      <c r="O83" s="28"/>
      <c r="P83" s="28"/>
      <c r="Q83" s="28"/>
      <c r="R83" s="27"/>
      <c r="S83" s="28"/>
      <c r="T83" s="28"/>
      <c r="U83" s="28"/>
      <c r="V83" s="29"/>
    </row>
    <row r="84" spans="1:22" ht="55.5" customHeight="1">
      <c r="A84" s="39"/>
      <c r="B84" s="41" t="s">
        <v>136</v>
      </c>
      <c r="C84" s="35" t="s">
        <v>258</v>
      </c>
      <c r="D84" s="36" t="s">
        <v>19</v>
      </c>
      <c r="E84" s="59" t="s">
        <v>137</v>
      </c>
      <c r="F84" s="28">
        <f t="shared" si="44"/>
        <v>8789.5</v>
      </c>
      <c r="G84" s="33">
        <v>263.39999999999998</v>
      </c>
      <c r="H84" s="33">
        <v>8517.2999999999993</v>
      </c>
      <c r="I84" s="33">
        <v>8.8000000000000007</v>
      </c>
      <c r="J84" s="28">
        <f t="shared" ref="J84:J89" si="128">K84+L84+M84</f>
        <v>2576.8000000000002</v>
      </c>
      <c r="K84" s="33">
        <v>77.2</v>
      </c>
      <c r="L84" s="33">
        <v>2497</v>
      </c>
      <c r="M84" s="33">
        <v>2.6</v>
      </c>
      <c r="N84" s="27">
        <f t="shared" ref="N84:N89" si="129">O84+P84+Q84</f>
        <v>8614.2999999999993</v>
      </c>
      <c r="O84" s="33">
        <v>258.39999999999998</v>
      </c>
      <c r="P84" s="33">
        <v>8355.9</v>
      </c>
      <c r="Q84" s="33"/>
      <c r="R84" s="27">
        <f t="shared" ref="R84:R89" si="130">S84+T84+U84</f>
        <v>9732.6</v>
      </c>
      <c r="S84" s="33">
        <v>292</v>
      </c>
      <c r="T84" s="33">
        <v>9440.6</v>
      </c>
      <c r="U84" s="33"/>
      <c r="V84" s="34">
        <f t="shared" si="45"/>
        <v>0.29299999999999998</v>
      </c>
    </row>
    <row r="85" spans="1:22" ht="44.25" customHeight="1">
      <c r="A85" s="39"/>
      <c r="B85" s="41" t="s">
        <v>56</v>
      </c>
      <c r="C85" s="35" t="s">
        <v>280</v>
      </c>
      <c r="D85" s="36" t="s">
        <v>48</v>
      </c>
      <c r="E85" s="59" t="s">
        <v>174</v>
      </c>
      <c r="F85" s="28">
        <f t="shared" si="44"/>
        <v>0</v>
      </c>
      <c r="G85" s="33">
        <v>0</v>
      </c>
      <c r="H85" s="33"/>
      <c r="I85" s="33"/>
      <c r="J85" s="28">
        <f t="shared" si="128"/>
        <v>0</v>
      </c>
      <c r="K85" s="33"/>
      <c r="L85" s="33"/>
      <c r="M85" s="33"/>
      <c r="N85" s="27">
        <f t="shared" si="129"/>
        <v>341757.7</v>
      </c>
      <c r="O85" s="33">
        <v>150527.20000000001</v>
      </c>
      <c r="P85" s="33">
        <v>191230.5</v>
      </c>
      <c r="Q85" s="33"/>
      <c r="R85" s="27">
        <f t="shared" si="130"/>
        <v>0</v>
      </c>
      <c r="S85" s="33">
        <v>0</v>
      </c>
      <c r="T85" s="33"/>
      <c r="U85" s="33"/>
      <c r="V85" s="34"/>
    </row>
    <row r="86" spans="1:22" ht="74.25" customHeight="1">
      <c r="A86" s="39"/>
      <c r="B86" s="41" t="s">
        <v>139</v>
      </c>
      <c r="C86" s="35" t="s">
        <v>280</v>
      </c>
      <c r="D86" s="36" t="s">
        <v>48</v>
      </c>
      <c r="E86" s="59" t="s">
        <v>138</v>
      </c>
      <c r="F86" s="28">
        <f t="shared" si="44"/>
        <v>0</v>
      </c>
      <c r="G86" s="33">
        <v>0</v>
      </c>
      <c r="H86" s="33"/>
      <c r="I86" s="33"/>
      <c r="J86" s="27">
        <f t="shared" si="128"/>
        <v>0</v>
      </c>
      <c r="K86" s="33"/>
      <c r="L86" s="33"/>
      <c r="M86" s="33"/>
      <c r="N86" s="27">
        <f t="shared" si="129"/>
        <v>0</v>
      </c>
      <c r="O86" s="33">
        <v>0</v>
      </c>
      <c r="P86" s="33"/>
      <c r="Q86" s="33"/>
      <c r="R86" s="27">
        <f t="shared" si="130"/>
        <v>7013.9</v>
      </c>
      <c r="S86" s="33">
        <v>210.4</v>
      </c>
      <c r="T86" s="33">
        <v>6803.5</v>
      </c>
      <c r="U86" s="33"/>
      <c r="V86" s="34"/>
    </row>
    <row r="87" spans="1:22" ht="49.5">
      <c r="A87" s="39"/>
      <c r="B87" s="41" t="s">
        <v>57</v>
      </c>
      <c r="C87" s="35" t="s">
        <v>280</v>
      </c>
      <c r="D87" s="36" t="s">
        <v>48</v>
      </c>
      <c r="E87" s="59" t="s">
        <v>185</v>
      </c>
      <c r="F87" s="28">
        <f t="shared" si="44"/>
        <v>4000</v>
      </c>
      <c r="G87" s="33">
        <v>4000</v>
      </c>
      <c r="H87" s="33"/>
      <c r="I87" s="33"/>
      <c r="J87" s="27">
        <f t="shared" si="128"/>
        <v>4000</v>
      </c>
      <c r="K87" s="33">
        <v>4000</v>
      </c>
      <c r="L87" s="33"/>
      <c r="M87" s="33"/>
      <c r="N87" s="27">
        <f t="shared" si="129"/>
        <v>0</v>
      </c>
      <c r="O87" s="33">
        <v>0</v>
      </c>
      <c r="P87" s="33"/>
      <c r="Q87" s="33"/>
      <c r="R87" s="27">
        <f t="shared" si="130"/>
        <v>0</v>
      </c>
      <c r="S87" s="33">
        <v>0</v>
      </c>
      <c r="T87" s="33"/>
      <c r="U87" s="33"/>
      <c r="V87" s="34">
        <f t="shared" si="45"/>
        <v>1</v>
      </c>
    </row>
    <row r="88" spans="1:22" ht="60.75" customHeight="1">
      <c r="A88" s="39"/>
      <c r="B88" s="41" t="s">
        <v>332</v>
      </c>
      <c r="C88" s="35" t="s">
        <v>280</v>
      </c>
      <c r="D88" s="36" t="s">
        <v>48</v>
      </c>
      <c r="E88" s="39" t="s">
        <v>186</v>
      </c>
      <c r="F88" s="28">
        <f t="shared" si="44"/>
        <v>3321</v>
      </c>
      <c r="G88" s="33">
        <v>3321</v>
      </c>
      <c r="H88" s="33"/>
      <c r="I88" s="33"/>
      <c r="J88" s="28">
        <f t="shared" si="128"/>
        <v>3321</v>
      </c>
      <c r="K88" s="33">
        <v>3321</v>
      </c>
      <c r="L88" s="33"/>
      <c r="M88" s="33"/>
      <c r="N88" s="27">
        <f t="shared" si="129"/>
        <v>0</v>
      </c>
      <c r="O88" s="33">
        <v>0</v>
      </c>
      <c r="P88" s="33"/>
      <c r="Q88" s="33"/>
      <c r="R88" s="27">
        <f t="shared" si="130"/>
        <v>0</v>
      </c>
      <c r="S88" s="33">
        <v>0</v>
      </c>
      <c r="T88" s="33"/>
      <c r="U88" s="33"/>
      <c r="V88" s="34">
        <f t="shared" si="45"/>
        <v>1</v>
      </c>
    </row>
    <row r="89" spans="1:22" ht="46.5" customHeight="1">
      <c r="A89" s="24" t="s">
        <v>54</v>
      </c>
      <c r="B89" s="48" t="s">
        <v>50</v>
      </c>
      <c r="C89" s="26" t="s">
        <v>12</v>
      </c>
      <c r="D89" s="26" t="s">
        <v>12</v>
      </c>
      <c r="E89" s="26" t="s">
        <v>12</v>
      </c>
      <c r="F89" s="28">
        <f t="shared" si="44"/>
        <v>146370.70000000001</v>
      </c>
      <c r="G89" s="28">
        <f>SUM(G91:G96)</f>
        <v>37209.699999999997</v>
      </c>
      <c r="H89" s="28">
        <f>SUM(H91:H96)</f>
        <v>109161</v>
      </c>
      <c r="I89" s="28">
        <f>SUM(I91:I96)</f>
        <v>0</v>
      </c>
      <c r="J89" s="28">
        <f t="shared" si="128"/>
        <v>90763.7</v>
      </c>
      <c r="K89" s="28">
        <f>SUM(K91:K96)</f>
        <v>34773.800000000003</v>
      </c>
      <c r="L89" s="28">
        <f>SUM(L91:L96)</f>
        <v>55989.9</v>
      </c>
      <c r="M89" s="28">
        <f>SUM(M91:M96)</f>
        <v>0</v>
      </c>
      <c r="N89" s="27">
        <f t="shared" si="129"/>
        <v>156583.9</v>
      </c>
      <c r="O89" s="28">
        <f>SUM(O91:O96)</f>
        <v>50316.800000000003</v>
      </c>
      <c r="P89" s="28">
        <f>SUM(P91:P96)</f>
        <v>106267.1</v>
      </c>
      <c r="Q89" s="28">
        <f>SUM(Q91:Q96)</f>
        <v>0</v>
      </c>
      <c r="R89" s="27">
        <f t="shared" si="130"/>
        <v>43457</v>
      </c>
      <c r="S89" s="28">
        <f>SUM(S91:S96)</f>
        <v>31069.4</v>
      </c>
      <c r="T89" s="28">
        <f>SUM(T91:T96)</f>
        <v>12387.6</v>
      </c>
      <c r="U89" s="28">
        <f>SUM(U91:U96)</f>
        <v>0</v>
      </c>
      <c r="V89" s="29">
        <f t="shared" si="45"/>
        <v>0.62</v>
      </c>
    </row>
    <row r="90" spans="1:22" ht="18.75">
      <c r="A90" s="39"/>
      <c r="B90" s="40" t="s">
        <v>15</v>
      </c>
      <c r="C90" s="32"/>
      <c r="D90" s="32"/>
      <c r="E90" s="32"/>
      <c r="F90" s="28"/>
      <c r="G90" s="28"/>
      <c r="H90" s="28"/>
      <c r="I90" s="28"/>
      <c r="J90" s="28"/>
      <c r="K90" s="28"/>
      <c r="L90" s="28"/>
      <c r="M90" s="28"/>
      <c r="N90" s="27"/>
      <c r="O90" s="28"/>
      <c r="P90" s="28"/>
      <c r="Q90" s="28"/>
      <c r="R90" s="27"/>
      <c r="S90" s="28"/>
      <c r="T90" s="28"/>
      <c r="U90" s="28"/>
      <c r="V90" s="29"/>
    </row>
    <row r="91" spans="1:22" ht="61.5" customHeight="1">
      <c r="A91" s="39"/>
      <c r="B91" s="41" t="s">
        <v>187</v>
      </c>
      <c r="C91" s="35" t="s">
        <v>280</v>
      </c>
      <c r="D91" s="36" t="s">
        <v>48</v>
      </c>
      <c r="E91" s="59" t="s">
        <v>188</v>
      </c>
      <c r="F91" s="28">
        <f t="shared" si="44"/>
        <v>29506</v>
      </c>
      <c r="G91" s="33">
        <v>29506</v>
      </c>
      <c r="H91" s="33"/>
      <c r="I91" s="33"/>
      <c r="J91" s="28">
        <f t="shared" ref="J91:J97" si="131">K91+L91+M91</f>
        <v>28908.3</v>
      </c>
      <c r="K91" s="33">
        <v>28908.3</v>
      </c>
      <c r="L91" s="33"/>
      <c r="M91" s="33"/>
      <c r="N91" s="27">
        <f t="shared" ref="N91:N97" si="132">O91+P91+Q91</f>
        <v>41501.9</v>
      </c>
      <c r="O91" s="33">
        <v>41501.9</v>
      </c>
      <c r="P91" s="33"/>
      <c r="Q91" s="33"/>
      <c r="R91" s="27">
        <f t="shared" ref="R91:R97" si="133">S91+T91+U91</f>
        <v>25786.3</v>
      </c>
      <c r="S91" s="33">
        <v>25786.3</v>
      </c>
      <c r="T91" s="33"/>
      <c r="U91" s="33"/>
      <c r="V91" s="34">
        <f t="shared" si="45"/>
        <v>0.98</v>
      </c>
    </row>
    <row r="92" spans="1:22" ht="60.75" customHeight="1">
      <c r="A92" s="39"/>
      <c r="B92" s="41" t="s">
        <v>224</v>
      </c>
      <c r="C92" s="35" t="s">
        <v>280</v>
      </c>
      <c r="D92" s="36" t="s">
        <v>48</v>
      </c>
      <c r="E92" s="59" t="s">
        <v>140</v>
      </c>
      <c r="F92" s="28">
        <f t="shared" si="44"/>
        <v>82533.899999999994</v>
      </c>
      <c r="G92" s="33">
        <v>2476</v>
      </c>
      <c r="H92" s="33">
        <v>80057.94</v>
      </c>
      <c r="I92" s="33"/>
      <c r="J92" s="27">
        <f t="shared" si="131"/>
        <v>27776.799999999999</v>
      </c>
      <c r="K92" s="33">
        <v>833.3</v>
      </c>
      <c r="L92" s="33">
        <v>26943.5</v>
      </c>
      <c r="M92" s="33"/>
      <c r="N92" s="27">
        <f t="shared" si="132"/>
        <v>96453.6</v>
      </c>
      <c r="O92" s="33">
        <v>2893.6</v>
      </c>
      <c r="P92" s="33">
        <v>93560</v>
      </c>
      <c r="Q92" s="33"/>
      <c r="R92" s="27">
        <f t="shared" si="133"/>
        <v>12770.7</v>
      </c>
      <c r="S92" s="33">
        <v>383.1</v>
      </c>
      <c r="T92" s="33">
        <v>12387.6</v>
      </c>
      <c r="U92" s="33"/>
      <c r="V92" s="34">
        <f t="shared" si="45"/>
        <v>0.33700000000000002</v>
      </c>
    </row>
    <row r="93" spans="1:22" ht="55.5" customHeight="1">
      <c r="A93" s="39"/>
      <c r="B93" s="41" t="s">
        <v>224</v>
      </c>
      <c r="C93" s="35" t="s">
        <v>286</v>
      </c>
      <c r="D93" s="36" t="s">
        <v>51</v>
      </c>
      <c r="E93" s="59" t="s">
        <v>140</v>
      </c>
      <c r="F93" s="28">
        <f t="shared" si="44"/>
        <v>12559.7</v>
      </c>
      <c r="G93" s="33">
        <v>376.8</v>
      </c>
      <c r="H93" s="33">
        <v>12182.86</v>
      </c>
      <c r="I93" s="33"/>
      <c r="J93" s="27">
        <f t="shared" si="131"/>
        <v>12501.2</v>
      </c>
      <c r="K93" s="33">
        <f>3.3+371.7</f>
        <v>375</v>
      </c>
      <c r="L93" s="33">
        <f>107.6+12018.6</f>
        <v>12126.2</v>
      </c>
      <c r="M93" s="33"/>
      <c r="N93" s="27">
        <f t="shared" si="132"/>
        <v>13100.1</v>
      </c>
      <c r="O93" s="33">
        <v>393</v>
      </c>
      <c r="P93" s="33">
        <v>12707.1</v>
      </c>
      <c r="Q93" s="33"/>
      <c r="R93" s="27">
        <f t="shared" si="133"/>
        <v>0</v>
      </c>
      <c r="S93" s="33">
        <v>0</v>
      </c>
      <c r="T93" s="33"/>
      <c r="U93" s="33"/>
      <c r="V93" s="34">
        <f t="shared" si="45"/>
        <v>0.995</v>
      </c>
    </row>
    <row r="94" spans="1:22" ht="39" customHeight="1">
      <c r="A94" s="39"/>
      <c r="B94" s="41" t="s">
        <v>53</v>
      </c>
      <c r="C94" s="35" t="s">
        <v>286</v>
      </c>
      <c r="D94" s="36" t="s">
        <v>51</v>
      </c>
      <c r="E94" s="39" t="s">
        <v>176</v>
      </c>
      <c r="F94" s="28">
        <f t="shared" si="44"/>
        <v>3561.2</v>
      </c>
      <c r="G94" s="33">
        <f>3605.13-43.9</f>
        <v>3561.2</v>
      </c>
      <c r="H94" s="33"/>
      <c r="I94" s="33"/>
      <c r="J94" s="27">
        <f t="shared" si="131"/>
        <v>3561.2</v>
      </c>
      <c r="K94" s="33">
        <f>2582.9+978.3</f>
        <v>3561.2</v>
      </c>
      <c r="L94" s="33"/>
      <c r="M94" s="33"/>
      <c r="N94" s="27">
        <f t="shared" si="132"/>
        <v>4325.8999999999996</v>
      </c>
      <c r="O94" s="33">
        <v>4325.8999999999996</v>
      </c>
      <c r="P94" s="33"/>
      <c r="Q94" s="33"/>
      <c r="R94" s="27">
        <f t="shared" si="133"/>
        <v>4390.5</v>
      </c>
      <c r="S94" s="33">
        <v>4390.5</v>
      </c>
      <c r="T94" s="33"/>
      <c r="U94" s="33"/>
      <c r="V94" s="34">
        <f t="shared" si="45"/>
        <v>1</v>
      </c>
    </row>
    <row r="95" spans="1:22" ht="55.5" customHeight="1">
      <c r="A95" s="39"/>
      <c r="B95" s="41" t="s">
        <v>52</v>
      </c>
      <c r="C95" s="35" t="s">
        <v>280</v>
      </c>
      <c r="D95" s="36" t="s">
        <v>48</v>
      </c>
      <c r="E95" s="39" t="s">
        <v>173</v>
      </c>
      <c r="F95" s="28">
        <f t="shared" si="44"/>
        <v>766.4</v>
      </c>
      <c r="G95" s="33">
        <v>766.4</v>
      </c>
      <c r="H95" s="33"/>
      <c r="I95" s="33"/>
      <c r="J95" s="27">
        <f t="shared" si="131"/>
        <v>572.70000000000005</v>
      </c>
      <c r="K95" s="33">
        <v>572.70000000000005</v>
      </c>
      <c r="L95" s="33"/>
      <c r="M95" s="33"/>
      <c r="N95" s="27">
        <f t="shared" si="132"/>
        <v>1202.4000000000001</v>
      </c>
      <c r="O95" s="33">
        <v>1202.4000000000001</v>
      </c>
      <c r="P95" s="33"/>
      <c r="Q95" s="33"/>
      <c r="R95" s="27">
        <f t="shared" si="133"/>
        <v>509.5</v>
      </c>
      <c r="S95" s="33">
        <v>509.5</v>
      </c>
      <c r="T95" s="33"/>
      <c r="U95" s="33"/>
      <c r="V95" s="34">
        <f t="shared" si="45"/>
        <v>0.747</v>
      </c>
    </row>
    <row r="96" spans="1:22" ht="34.5" customHeight="1">
      <c r="A96" s="39"/>
      <c r="B96" s="41" t="s">
        <v>141</v>
      </c>
      <c r="C96" s="35" t="s">
        <v>280</v>
      </c>
      <c r="D96" s="36" t="s">
        <v>48</v>
      </c>
      <c r="E96" s="39" t="s">
        <v>142</v>
      </c>
      <c r="F96" s="28">
        <f t="shared" si="44"/>
        <v>17443.5</v>
      </c>
      <c r="G96" s="33">
        <v>523.29999999999995</v>
      </c>
      <c r="H96" s="33">
        <v>16920.2</v>
      </c>
      <c r="I96" s="33"/>
      <c r="J96" s="28">
        <f t="shared" si="131"/>
        <v>17443.5</v>
      </c>
      <c r="K96" s="33">
        <v>523.29999999999995</v>
      </c>
      <c r="L96" s="33">
        <v>16920.2</v>
      </c>
      <c r="M96" s="33"/>
      <c r="N96" s="27">
        <f t="shared" si="132"/>
        <v>0</v>
      </c>
      <c r="O96" s="33">
        <v>0</v>
      </c>
      <c r="P96" s="33"/>
      <c r="Q96" s="33"/>
      <c r="R96" s="27">
        <f t="shared" si="133"/>
        <v>0</v>
      </c>
      <c r="S96" s="33">
        <v>0</v>
      </c>
      <c r="T96" s="33"/>
      <c r="U96" s="33"/>
      <c r="V96" s="34">
        <f t="shared" si="45"/>
        <v>1</v>
      </c>
    </row>
    <row r="97" spans="1:101" ht="57" customHeight="1">
      <c r="A97" s="24" t="s">
        <v>58</v>
      </c>
      <c r="B97" s="48" t="s">
        <v>59</v>
      </c>
      <c r="C97" s="26" t="s">
        <v>12</v>
      </c>
      <c r="D97" s="26" t="s">
        <v>12</v>
      </c>
      <c r="E97" s="26" t="s">
        <v>12</v>
      </c>
      <c r="F97" s="28">
        <f t="shared" si="44"/>
        <v>62209.5</v>
      </c>
      <c r="G97" s="28">
        <f>SUM(G99:G99)</f>
        <v>1866.3</v>
      </c>
      <c r="H97" s="28">
        <f>SUM(H99:H99)</f>
        <v>60343.199999999997</v>
      </c>
      <c r="I97" s="28">
        <f>SUM(I99:I99)</f>
        <v>0</v>
      </c>
      <c r="J97" s="28">
        <f t="shared" si="131"/>
        <v>41420</v>
      </c>
      <c r="K97" s="28">
        <f>SUM(K99:K99)</f>
        <v>1242.5999999999999</v>
      </c>
      <c r="L97" s="28">
        <f>SUM(L99:L99)</f>
        <v>40177.4</v>
      </c>
      <c r="M97" s="28">
        <f>SUM(M99:M99)</f>
        <v>0</v>
      </c>
      <c r="N97" s="27">
        <f t="shared" si="132"/>
        <v>27351.599999999999</v>
      </c>
      <c r="O97" s="28">
        <f>SUM(O99:O99)</f>
        <v>820.5</v>
      </c>
      <c r="P97" s="28">
        <f>SUM(P99:P99)</f>
        <v>26531.1</v>
      </c>
      <c r="Q97" s="28">
        <f>SUM(Q99:Q99)</f>
        <v>0</v>
      </c>
      <c r="R97" s="27">
        <f t="shared" si="133"/>
        <v>26462.1</v>
      </c>
      <c r="S97" s="28">
        <f>SUM(S99:S99)</f>
        <v>793.9</v>
      </c>
      <c r="T97" s="28">
        <f>SUM(T99:T99)</f>
        <v>25668.2</v>
      </c>
      <c r="U97" s="28">
        <f>SUM(U99:U99)</f>
        <v>0</v>
      </c>
      <c r="V97" s="29">
        <f t="shared" si="45"/>
        <v>0.66600000000000004</v>
      </c>
    </row>
    <row r="98" spans="1:101" ht="18.75">
      <c r="A98" s="39"/>
      <c r="B98" s="40" t="s">
        <v>15</v>
      </c>
      <c r="C98" s="32"/>
      <c r="D98" s="32"/>
      <c r="E98" s="32"/>
      <c r="F98" s="28"/>
      <c r="G98" s="28"/>
      <c r="H98" s="28"/>
      <c r="I98" s="28"/>
      <c r="J98" s="28"/>
      <c r="K98" s="28"/>
      <c r="L98" s="28"/>
      <c r="M98" s="28"/>
      <c r="N98" s="27"/>
      <c r="O98" s="28"/>
      <c r="P98" s="28"/>
      <c r="Q98" s="28"/>
      <c r="R98" s="27"/>
      <c r="S98" s="28"/>
      <c r="T98" s="28"/>
      <c r="U98" s="28"/>
      <c r="V98" s="29"/>
    </row>
    <row r="99" spans="1:101" ht="58.5" customHeight="1">
      <c r="A99" s="39"/>
      <c r="B99" s="41" t="s">
        <v>287</v>
      </c>
      <c r="C99" s="35" t="s">
        <v>286</v>
      </c>
      <c r="D99" s="36" t="s">
        <v>51</v>
      </c>
      <c r="E99" s="35" t="s">
        <v>288</v>
      </c>
      <c r="F99" s="28">
        <f t="shared" si="44"/>
        <v>62209.5</v>
      </c>
      <c r="G99" s="33">
        <v>1866.28</v>
      </c>
      <c r="H99" s="33">
        <v>60343.199999999997</v>
      </c>
      <c r="I99" s="33"/>
      <c r="J99" s="28">
        <f t="shared" ref="J99" si="134">K99+L99+M99</f>
        <v>41420</v>
      </c>
      <c r="K99" s="33">
        <f>147+379.7+715.9</f>
        <v>1242.5999999999999</v>
      </c>
      <c r="L99" s="33">
        <f>17032.1+23145.3</f>
        <v>40177.4</v>
      </c>
      <c r="M99" s="33"/>
      <c r="N99" s="27">
        <f t="shared" ref="N99" si="135">O99+P99+Q99</f>
        <v>27351.599999999999</v>
      </c>
      <c r="O99" s="33">
        <v>820.5</v>
      </c>
      <c r="P99" s="33">
        <v>26531.1</v>
      </c>
      <c r="Q99" s="33"/>
      <c r="R99" s="27">
        <f t="shared" ref="R99" si="136">S99+T99+U99</f>
        <v>26462.1</v>
      </c>
      <c r="S99" s="33">
        <v>793.9</v>
      </c>
      <c r="T99" s="33">
        <v>25668.2</v>
      </c>
      <c r="U99" s="33"/>
      <c r="V99" s="29">
        <f t="shared" si="45"/>
        <v>0.66600000000000004</v>
      </c>
    </row>
    <row r="100" spans="1:101" ht="60.75" customHeight="1">
      <c r="A100" s="24" t="s">
        <v>358</v>
      </c>
      <c r="B100" s="48" t="s">
        <v>357</v>
      </c>
      <c r="C100" s="26" t="s">
        <v>12</v>
      </c>
      <c r="D100" s="26" t="s">
        <v>12</v>
      </c>
      <c r="E100" s="26" t="s">
        <v>12</v>
      </c>
      <c r="F100" s="28">
        <f>F102</f>
        <v>30663.7</v>
      </c>
      <c r="G100" s="33">
        <f t="shared" ref="G100:M100" si="137">G102</f>
        <v>2458.6999999999998</v>
      </c>
      <c r="H100" s="33">
        <f t="shared" si="137"/>
        <v>28205</v>
      </c>
      <c r="I100" s="33">
        <f t="shared" si="137"/>
        <v>0</v>
      </c>
      <c r="J100" s="28">
        <f>J102</f>
        <v>0</v>
      </c>
      <c r="K100" s="33">
        <f>K102</f>
        <v>0</v>
      </c>
      <c r="L100" s="33">
        <f t="shared" si="137"/>
        <v>0</v>
      </c>
      <c r="M100" s="33">
        <f t="shared" si="137"/>
        <v>0</v>
      </c>
      <c r="N100" s="27">
        <f>O100+P100+Q100</f>
        <v>0</v>
      </c>
      <c r="O100" s="33"/>
      <c r="P100" s="33"/>
      <c r="Q100" s="33"/>
      <c r="R100" s="27">
        <f>S100+T100+U100</f>
        <v>0</v>
      </c>
      <c r="S100" s="33"/>
      <c r="T100" s="33"/>
      <c r="U100" s="33"/>
      <c r="V100" s="29">
        <f t="shared" si="45"/>
        <v>0</v>
      </c>
    </row>
    <row r="101" spans="1:101" ht="19.5" customHeight="1">
      <c r="A101" s="39"/>
      <c r="B101" s="40" t="s">
        <v>15</v>
      </c>
      <c r="C101" s="35"/>
      <c r="D101" s="36"/>
      <c r="E101" s="35"/>
      <c r="F101" s="28"/>
      <c r="G101" s="33"/>
      <c r="H101" s="33"/>
      <c r="I101" s="33"/>
      <c r="J101" s="28"/>
      <c r="K101" s="33"/>
      <c r="L101" s="33"/>
      <c r="M101" s="33"/>
      <c r="N101" s="27"/>
      <c r="O101" s="33"/>
      <c r="P101" s="33"/>
      <c r="Q101" s="33"/>
      <c r="R101" s="27"/>
      <c r="S101" s="33"/>
      <c r="T101" s="33"/>
      <c r="U101" s="33"/>
      <c r="V101" s="29"/>
    </row>
    <row r="102" spans="1:101" ht="84" customHeight="1">
      <c r="A102" s="39"/>
      <c r="B102" s="41" t="s">
        <v>359</v>
      </c>
      <c r="C102" s="35">
        <v>815</v>
      </c>
      <c r="D102" s="93" t="s">
        <v>48</v>
      </c>
      <c r="E102" s="35" t="s">
        <v>360</v>
      </c>
      <c r="F102" s="28">
        <f>G102+H102+I102</f>
        <v>30663.7</v>
      </c>
      <c r="G102" s="79">
        <v>2458.6999999999998</v>
      </c>
      <c r="H102" s="79">
        <v>28205</v>
      </c>
      <c r="I102" s="33">
        <v>0</v>
      </c>
      <c r="J102" s="28"/>
      <c r="K102" s="33"/>
      <c r="L102" s="33"/>
      <c r="M102" s="33"/>
      <c r="N102" s="27">
        <f>O102+P102+Q102</f>
        <v>0</v>
      </c>
      <c r="O102" s="33"/>
      <c r="P102" s="33"/>
      <c r="Q102" s="33"/>
      <c r="R102" s="27">
        <f>S102+T102+U102</f>
        <v>0</v>
      </c>
      <c r="S102" s="33"/>
      <c r="T102" s="33"/>
      <c r="U102" s="33"/>
      <c r="V102" s="29">
        <f t="shared" si="45"/>
        <v>0</v>
      </c>
    </row>
    <row r="103" spans="1:101" ht="28.5" customHeight="1">
      <c r="A103" s="19" t="s">
        <v>60</v>
      </c>
      <c r="B103" s="60" t="s">
        <v>61</v>
      </c>
      <c r="C103" s="21" t="s">
        <v>12</v>
      </c>
      <c r="D103" s="21" t="s">
        <v>12</v>
      </c>
      <c r="E103" s="21" t="s">
        <v>12</v>
      </c>
      <c r="F103" s="45">
        <f t="shared" ref="F103:F128" si="138">G103+H103+I103</f>
        <v>9517.7000000000007</v>
      </c>
      <c r="G103" s="45">
        <f>G104+G109</f>
        <v>2005.9</v>
      </c>
      <c r="H103" s="45">
        <f t="shared" ref="H103:I103" si="139">H104+H109</f>
        <v>7511.8</v>
      </c>
      <c r="I103" s="45">
        <f t="shared" si="139"/>
        <v>0</v>
      </c>
      <c r="J103" s="45">
        <f t="shared" ref="J103:J104" si="140">K103+L103+M103</f>
        <v>4206.3</v>
      </c>
      <c r="K103" s="45">
        <f>K104+K109</f>
        <v>1952.8</v>
      </c>
      <c r="L103" s="45">
        <f t="shared" ref="L103:M103" si="141">L104+L109</f>
        <v>2253.5</v>
      </c>
      <c r="M103" s="45">
        <f t="shared" si="141"/>
        <v>0</v>
      </c>
      <c r="N103" s="45">
        <f t="shared" ref="N103:N104" si="142">O103+P103+Q103</f>
        <v>65202.400000000001</v>
      </c>
      <c r="O103" s="45">
        <f>O104+O109</f>
        <v>3828.8</v>
      </c>
      <c r="P103" s="45">
        <f t="shared" ref="P103:Q103" si="143">P104+P109</f>
        <v>61373.599999999999</v>
      </c>
      <c r="Q103" s="45">
        <f t="shared" si="143"/>
        <v>0</v>
      </c>
      <c r="R103" s="45">
        <f t="shared" ref="R103:R104" si="144">S103+T103+U103</f>
        <v>259397.1</v>
      </c>
      <c r="S103" s="45">
        <f>S104+S109</f>
        <v>9654.6</v>
      </c>
      <c r="T103" s="45">
        <f t="shared" ref="T103:U103" si="145">T104+T109</f>
        <v>249742.5</v>
      </c>
      <c r="U103" s="45">
        <f t="shared" si="145"/>
        <v>0</v>
      </c>
      <c r="V103" s="46">
        <f t="shared" si="45"/>
        <v>0.442</v>
      </c>
    </row>
    <row r="104" spans="1:101" ht="37.5" customHeight="1">
      <c r="A104" s="11" t="s">
        <v>62</v>
      </c>
      <c r="B104" s="25" t="s">
        <v>66</v>
      </c>
      <c r="C104" s="37" t="s">
        <v>12</v>
      </c>
      <c r="D104" s="37" t="s">
        <v>12</v>
      </c>
      <c r="E104" s="26" t="s">
        <v>12</v>
      </c>
      <c r="F104" s="28">
        <f t="shared" si="138"/>
        <v>7587.7</v>
      </c>
      <c r="G104" s="28">
        <f>SUM(G105:G108)</f>
        <v>75.900000000000006</v>
      </c>
      <c r="H104" s="28">
        <f>SUM(H105:H108)</f>
        <v>7511.8</v>
      </c>
      <c r="I104" s="28">
        <f>SUM(I105:I108)</f>
        <v>0</v>
      </c>
      <c r="J104" s="28">
        <f t="shared" si="140"/>
        <v>2276.3000000000002</v>
      </c>
      <c r="K104" s="28">
        <f>SUM(K105:K108)</f>
        <v>22.8</v>
      </c>
      <c r="L104" s="28">
        <f>SUM(L105:L108)</f>
        <v>2253.5</v>
      </c>
      <c r="M104" s="28">
        <f>SUM(M105:M108)</f>
        <v>0</v>
      </c>
      <c r="N104" s="27">
        <f t="shared" si="142"/>
        <v>63272.4</v>
      </c>
      <c r="O104" s="28">
        <f>SUM(O106:O108)</f>
        <v>1898.8</v>
      </c>
      <c r="P104" s="28">
        <f t="shared" ref="P104:Q104" si="146">SUM(P106:P108)</f>
        <v>61373.599999999999</v>
      </c>
      <c r="Q104" s="28">
        <f t="shared" si="146"/>
        <v>0</v>
      </c>
      <c r="R104" s="27">
        <f t="shared" si="144"/>
        <v>257467.1</v>
      </c>
      <c r="S104" s="28">
        <f>SUM(S106:S108)</f>
        <v>7724.6</v>
      </c>
      <c r="T104" s="28">
        <f t="shared" ref="T104:U104" si="147">SUM(T106:T108)</f>
        <v>249742.5</v>
      </c>
      <c r="U104" s="28">
        <f t="shared" si="147"/>
        <v>0</v>
      </c>
      <c r="V104" s="38">
        <f t="shared" ref="V104:V128" si="148">J104/F104</f>
        <v>0.3</v>
      </c>
    </row>
    <row r="105" spans="1:101" ht="18.75">
      <c r="A105" s="24"/>
      <c r="B105" s="61" t="s">
        <v>15</v>
      </c>
      <c r="C105" s="62"/>
      <c r="D105" s="62"/>
      <c r="E105" s="62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38"/>
    </row>
    <row r="106" spans="1:101" ht="156" customHeight="1">
      <c r="A106" s="24"/>
      <c r="B106" s="41" t="s">
        <v>290</v>
      </c>
      <c r="C106" s="36" t="s">
        <v>280</v>
      </c>
      <c r="D106" s="36" t="s">
        <v>48</v>
      </c>
      <c r="E106" s="35" t="s">
        <v>228</v>
      </c>
      <c r="F106" s="28">
        <f t="shared" si="138"/>
        <v>0</v>
      </c>
      <c r="G106" s="28">
        <v>0</v>
      </c>
      <c r="H106" s="28"/>
      <c r="I106" s="28"/>
      <c r="J106" s="28">
        <f t="shared" ref="J106:J108" si="149">K106+L106+M106</f>
        <v>0</v>
      </c>
      <c r="K106" s="28"/>
      <c r="L106" s="28"/>
      <c r="M106" s="28"/>
      <c r="N106" s="28">
        <f t="shared" ref="N106:N108" si="150">O106+P106+Q106</f>
        <v>56053</v>
      </c>
      <c r="O106" s="33">
        <v>1681.6</v>
      </c>
      <c r="P106" s="33">
        <v>54371.4</v>
      </c>
      <c r="Q106" s="28"/>
      <c r="R106" s="28">
        <f t="shared" ref="R106:R108" si="151">S106+T106+U106</f>
        <v>250247.7</v>
      </c>
      <c r="S106" s="33">
        <v>7507.4</v>
      </c>
      <c r="T106" s="33">
        <v>242740.3</v>
      </c>
      <c r="U106" s="28"/>
      <c r="V106" s="63"/>
    </row>
    <row r="107" spans="1:101" ht="60.75" customHeight="1">
      <c r="A107" s="24"/>
      <c r="B107" s="41" t="s">
        <v>291</v>
      </c>
      <c r="C107" s="36" t="s">
        <v>257</v>
      </c>
      <c r="D107" s="36" t="s">
        <v>17</v>
      </c>
      <c r="E107" s="35" t="s">
        <v>289</v>
      </c>
      <c r="F107" s="28">
        <f t="shared" si="138"/>
        <v>7587.7</v>
      </c>
      <c r="G107" s="28">
        <v>75.900000000000006</v>
      </c>
      <c r="H107" s="33">
        <v>7511.8</v>
      </c>
      <c r="I107" s="28"/>
      <c r="J107" s="28">
        <f t="shared" si="149"/>
        <v>2276.3000000000002</v>
      </c>
      <c r="K107" s="28">
        <v>22.8</v>
      </c>
      <c r="L107" s="28">
        <v>2253.5</v>
      </c>
      <c r="M107" s="28"/>
      <c r="N107" s="28">
        <f t="shared" si="150"/>
        <v>0</v>
      </c>
      <c r="O107" s="33">
        <v>0</v>
      </c>
      <c r="P107" s="33">
        <v>0</v>
      </c>
      <c r="Q107" s="28"/>
      <c r="R107" s="28">
        <f t="shared" si="151"/>
        <v>0</v>
      </c>
      <c r="S107" s="33">
        <v>0</v>
      </c>
      <c r="T107" s="33">
        <v>0</v>
      </c>
      <c r="U107" s="28"/>
      <c r="V107" s="63">
        <f t="shared" si="148"/>
        <v>0.3</v>
      </c>
    </row>
    <row r="108" spans="1:101" ht="153.75" customHeight="1">
      <c r="A108" s="24"/>
      <c r="B108" s="41" t="s">
        <v>220</v>
      </c>
      <c r="C108" s="36" t="s">
        <v>292</v>
      </c>
      <c r="D108" s="36" t="s">
        <v>230</v>
      </c>
      <c r="E108" s="35" t="s">
        <v>219</v>
      </c>
      <c r="F108" s="28">
        <f t="shared" si="138"/>
        <v>0</v>
      </c>
      <c r="G108" s="28">
        <f>1359.4-1359.4</f>
        <v>0</v>
      </c>
      <c r="H108" s="33"/>
      <c r="I108" s="28"/>
      <c r="J108" s="28">
        <f t="shared" si="149"/>
        <v>0</v>
      </c>
      <c r="K108" s="28"/>
      <c r="L108" s="28"/>
      <c r="M108" s="28"/>
      <c r="N108" s="28">
        <f t="shared" si="150"/>
        <v>7219.4</v>
      </c>
      <c r="O108" s="33">
        <v>217.2</v>
      </c>
      <c r="P108" s="33">
        <v>7002.2</v>
      </c>
      <c r="Q108" s="28"/>
      <c r="R108" s="28">
        <f t="shared" si="151"/>
        <v>7219.4</v>
      </c>
      <c r="S108" s="33">
        <v>217.2</v>
      </c>
      <c r="T108" s="33">
        <v>7002.2</v>
      </c>
      <c r="U108" s="28"/>
      <c r="V108" s="63" t="e">
        <f t="shared" si="148"/>
        <v>#DIV/0!</v>
      </c>
    </row>
    <row r="109" spans="1:101" ht="39.75" customHeight="1">
      <c r="A109" s="24" t="s">
        <v>63</v>
      </c>
      <c r="B109" s="48" t="s">
        <v>341</v>
      </c>
      <c r="C109" s="62" t="s">
        <v>12</v>
      </c>
      <c r="D109" s="62" t="s">
        <v>12</v>
      </c>
      <c r="E109" s="62" t="s">
        <v>12</v>
      </c>
      <c r="F109" s="28">
        <f t="shared" si="138"/>
        <v>1930</v>
      </c>
      <c r="G109" s="28">
        <f>SUM(G111:G111)</f>
        <v>1930</v>
      </c>
      <c r="H109" s="28">
        <f>SUM(H111:H111)</f>
        <v>0</v>
      </c>
      <c r="I109" s="28">
        <f>SUM(I111:I111)</f>
        <v>0</v>
      </c>
      <c r="J109" s="27">
        <f t="shared" ref="J109" si="152">K109+L109+M109</f>
        <v>1930</v>
      </c>
      <c r="K109" s="28">
        <f>SUM(K111:K111)</f>
        <v>1930</v>
      </c>
      <c r="L109" s="28">
        <f>SUM(L111:L111)</f>
        <v>0</v>
      </c>
      <c r="M109" s="28">
        <f>SUM(M111:M111)</f>
        <v>0</v>
      </c>
      <c r="N109" s="28">
        <f t="shared" ref="N109" si="153">O109+P109+Q109</f>
        <v>1930</v>
      </c>
      <c r="O109" s="28">
        <f>SUM(O111:O111)</f>
        <v>1930</v>
      </c>
      <c r="P109" s="28">
        <f>SUM(P111:P111)</f>
        <v>0</v>
      </c>
      <c r="Q109" s="28">
        <f>SUM(Q111:Q111)</f>
        <v>0</v>
      </c>
      <c r="R109" s="28">
        <f t="shared" ref="R109" si="154">S109+T109+U109</f>
        <v>1930</v>
      </c>
      <c r="S109" s="28">
        <f>SUM(S111)</f>
        <v>1930</v>
      </c>
      <c r="T109" s="28">
        <f t="shared" ref="T109:U109" si="155">SUM(T111)</f>
        <v>0</v>
      </c>
      <c r="U109" s="28">
        <f t="shared" si="155"/>
        <v>0</v>
      </c>
      <c r="V109" s="38">
        <f t="shared" si="148"/>
        <v>1</v>
      </c>
    </row>
    <row r="110" spans="1:101" ht="18.75">
      <c r="A110" s="39"/>
      <c r="B110" s="61" t="s">
        <v>15</v>
      </c>
      <c r="C110" s="32"/>
      <c r="D110" s="42"/>
      <c r="E110" s="64"/>
      <c r="F110" s="28"/>
      <c r="G110" s="28"/>
      <c r="H110" s="28"/>
      <c r="I110" s="28"/>
      <c r="J110" s="27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38"/>
    </row>
    <row r="111" spans="1:101" ht="74.25" customHeight="1">
      <c r="A111" s="39"/>
      <c r="B111" s="41" t="s">
        <v>108</v>
      </c>
      <c r="C111" s="36" t="s">
        <v>293</v>
      </c>
      <c r="D111" s="36" t="s">
        <v>65</v>
      </c>
      <c r="E111" s="59" t="s">
        <v>163</v>
      </c>
      <c r="F111" s="28">
        <f t="shared" ref="F111" si="156">G111+H111+I111</f>
        <v>1930</v>
      </c>
      <c r="G111" s="33">
        <v>1930</v>
      </c>
      <c r="H111" s="33"/>
      <c r="I111" s="33"/>
      <c r="J111" s="27">
        <f t="shared" ref="J111" si="157">K111+L111+M111</f>
        <v>1930</v>
      </c>
      <c r="K111" s="33">
        <f>9+1921</f>
        <v>1930</v>
      </c>
      <c r="L111" s="33"/>
      <c r="M111" s="33"/>
      <c r="N111" s="28">
        <f t="shared" ref="N111" si="158">O111+P111+Q111</f>
        <v>1930</v>
      </c>
      <c r="O111" s="33">
        <v>1930</v>
      </c>
      <c r="P111" s="33"/>
      <c r="Q111" s="33"/>
      <c r="R111" s="28">
        <f t="shared" ref="R111" si="159">S111+T111+U111</f>
        <v>1930</v>
      </c>
      <c r="S111" s="33">
        <v>1930</v>
      </c>
      <c r="T111" s="33"/>
      <c r="U111" s="33"/>
      <c r="V111" s="63">
        <f t="shared" ref="V111" si="160">J111/F111</f>
        <v>1</v>
      </c>
    </row>
    <row r="112" spans="1:101" s="66" customFormat="1" ht="33">
      <c r="A112" s="19" t="s">
        <v>67</v>
      </c>
      <c r="B112" s="60" t="s">
        <v>68</v>
      </c>
      <c r="C112" s="21" t="s">
        <v>12</v>
      </c>
      <c r="D112" s="21" t="s">
        <v>12</v>
      </c>
      <c r="E112" s="21" t="s">
        <v>12</v>
      </c>
      <c r="F112" s="45">
        <f t="shared" si="138"/>
        <v>3508663.9</v>
      </c>
      <c r="G112" s="45">
        <f>G113+G117+G122</f>
        <v>499591.8</v>
      </c>
      <c r="H112" s="45">
        <f t="shared" ref="H112:I112" si="161">H113+H117+H122</f>
        <v>2869746.1</v>
      </c>
      <c r="I112" s="45">
        <f t="shared" si="161"/>
        <v>139326</v>
      </c>
      <c r="J112" s="45">
        <f t="shared" ref="J112:J113" si="162">K112+L112+M112</f>
        <v>422276.8</v>
      </c>
      <c r="K112" s="45">
        <f>K113+K117+K122</f>
        <v>76357.2</v>
      </c>
      <c r="L112" s="45">
        <f t="shared" ref="L112:M112" si="163">L113+L117+L122</f>
        <v>287373.09999999998</v>
      </c>
      <c r="M112" s="45">
        <f t="shared" si="163"/>
        <v>58546.5</v>
      </c>
      <c r="N112" s="45">
        <f t="shared" ref="N112:N113" si="164">O112+P112+Q112</f>
        <v>2847357.5</v>
      </c>
      <c r="O112" s="45">
        <f>O113+O117+O122</f>
        <v>961523.8</v>
      </c>
      <c r="P112" s="45">
        <f t="shared" ref="P112:Q112" si="165">P113+P117+P122</f>
        <v>1819988.6</v>
      </c>
      <c r="Q112" s="45">
        <f t="shared" si="165"/>
        <v>65845.100000000006</v>
      </c>
      <c r="R112" s="45">
        <f t="shared" ref="R112:R113" si="166">S112+T112+U112</f>
        <v>1500686.7</v>
      </c>
      <c r="S112" s="45">
        <f>S113+S117+S122</f>
        <v>66336.800000000003</v>
      </c>
      <c r="T112" s="45">
        <f t="shared" ref="T112:U112" si="167">T113+T117+T122</f>
        <v>1374104.8</v>
      </c>
      <c r="U112" s="45">
        <f t="shared" si="167"/>
        <v>60245.1</v>
      </c>
      <c r="V112" s="46">
        <f t="shared" si="148"/>
        <v>0.12</v>
      </c>
      <c r="W112" s="3"/>
      <c r="X112" s="97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</row>
    <row r="113" spans="1:101" ht="33">
      <c r="A113" s="11" t="s">
        <v>69</v>
      </c>
      <c r="B113" s="25" t="s">
        <v>70</v>
      </c>
      <c r="C113" s="37" t="s">
        <v>12</v>
      </c>
      <c r="D113" s="37" t="s">
        <v>12</v>
      </c>
      <c r="E113" s="37" t="s">
        <v>12</v>
      </c>
      <c r="F113" s="28">
        <f t="shared" si="138"/>
        <v>562791.80000000005</v>
      </c>
      <c r="G113" s="28">
        <f>SUM(G115:G116)</f>
        <v>25197.599999999999</v>
      </c>
      <c r="H113" s="28">
        <f t="shared" ref="H113:I113" si="168">SUM(H115:H116)</f>
        <v>502056.5</v>
      </c>
      <c r="I113" s="28">
        <f t="shared" si="168"/>
        <v>35537.699999999997</v>
      </c>
      <c r="J113" s="28">
        <f t="shared" si="162"/>
        <v>87276.6</v>
      </c>
      <c r="K113" s="28">
        <f>SUM(K115:K116)</f>
        <v>2470.1999999999998</v>
      </c>
      <c r="L113" s="28">
        <f t="shared" ref="L113:M113" si="169">SUM(L115:L116)</f>
        <v>79868.7</v>
      </c>
      <c r="M113" s="28">
        <f t="shared" si="169"/>
        <v>4937.7</v>
      </c>
      <c r="N113" s="27">
        <f t="shared" si="164"/>
        <v>395081.1</v>
      </c>
      <c r="O113" s="28">
        <f>SUM(O115:O116)</f>
        <v>11197.6</v>
      </c>
      <c r="P113" s="28">
        <f t="shared" ref="P113:Q113" si="170">SUM(P115:P116)</f>
        <v>362056.5</v>
      </c>
      <c r="Q113" s="28">
        <f t="shared" si="170"/>
        <v>21827</v>
      </c>
      <c r="R113" s="27">
        <f t="shared" si="166"/>
        <v>430953.8</v>
      </c>
      <c r="S113" s="28">
        <f>SUM(S115:S116)</f>
        <v>12441.8</v>
      </c>
      <c r="T113" s="28">
        <f t="shared" ref="T113:U113" si="171">SUM(T115:T116)</f>
        <v>402285</v>
      </c>
      <c r="U113" s="28">
        <f t="shared" si="171"/>
        <v>16227</v>
      </c>
      <c r="V113" s="38">
        <f t="shared" si="148"/>
        <v>0.155</v>
      </c>
      <c r="X113" s="18"/>
      <c r="Y113" s="18"/>
    </row>
    <row r="114" spans="1:101" ht="18.75">
      <c r="A114" s="14"/>
      <c r="B114" s="31" t="s">
        <v>15</v>
      </c>
      <c r="C114" s="57"/>
      <c r="D114" s="57"/>
      <c r="E114" s="57"/>
      <c r="F114" s="28"/>
      <c r="G114" s="28"/>
      <c r="H114" s="28"/>
      <c r="I114" s="28"/>
      <c r="J114" s="28"/>
      <c r="K114" s="28"/>
      <c r="L114" s="28"/>
      <c r="M114" s="28"/>
      <c r="N114" s="27"/>
      <c r="O114" s="28"/>
      <c r="P114" s="28"/>
      <c r="Q114" s="28"/>
      <c r="R114" s="27"/>
      <c r="S114" s="28"/>
      <c r="T114" s="28"/>
      <c r="U114" s="28"/>
      <c r="V114" s="38"/>
    </row>
    <row r="115" spans="1:101" ht="74.25" customHeight="1">
      <c r="A115" s="39"/>
      <c r="B115" s="41" t="s">
        <v>295</v>
      </c>
      <c r="C115" s="35" t="s">
        <v>258</v>
      </c>
      <c r="D115" s="36" t="s">
        <v>19</v>
      </c>
      <c r="E115" s="35" t="s">
        <v>294</v>
      </c>
      <c r="F115" s="28">
        <f t="shared" si="138"/>
        <v>159000</v>
      </c>
      <c r="G115" s="28">
        <v>14000</v>
      </c>
      <c r="H115" s="28">
        <v>140000</v>
      </c>
      <c r="I115" s="28">
        <v>5000</v>
      </c>
      <c r="J115" s="28">
        <f t="shared" ref="J115:J117" si="172">K115+L115+M115</f>
        <v>0</v>
      </c>
      <c r="K115" s="28"/>
      <c r="L115" s="28"/>
      <c r="M115" s="28"/>
      <c r="N115" s="27">
        <f t="shared" ref="N115:N117" si="173">O115+P115+Q115</f>
        <v>0</v>
      </c>
      <c r="O115" s="28">
        <v>0</v>
      </c>
      <c r="P115" s="28">
        <v>0</v>
      </c>
      <c r="Q115" s="28"/>
      <c r="R115" s="27">
        <f t="shared" ref="R115:R117" si="174">S115+T115+U115</f>
        <v>0</v>
      </c>
      <c r="S115" s="28">
        <v>0</v>
      </c>
      <c r="T115" s="28">
        <v>0</v>
      </c>
      <c r="U115" s="28"/>
      <c r="V115" s="63">
        <f t="shared" si="148"/>
        <v>0</v>
      </c>
      <c r="X115"/>
    </row>
    <row r="116" spans="1:101" ht="36.75" customHeight="1">
      <c r="A116" s="39"/>
      <c r="B116" s="41" t="s">
        <v>71</v>
      </c>
      <c r="C116" s="35" t="s">
        <v>258</v>
      </c>
      <c r="D116" s="36" t="s">
        <v>19</v>
      </c>
      <c r="E116" s="35" t="s">
        <v>155</v>
      </c>
      <c r="F116" s="28">
        <f t="shared" si="138"/>
        <v>403791.8</v>
      </c>
      <c r="G116" s="33">
        <v>11197.6</v>
      </c>
      <c r="H116" s="33">
        <v>362056.5</v>
      </c>
      <c r="I116" s="33">
        <v>30537.7</v>
      </c>
      <c r="J116" s="28">
        <f t="shared" si="172"/>
        <v>87276.6</v>
      </c>
      <c r="K116" s="33">
        <v>2470.1999999999998</v>
      </c>
      <c r="L116" s="33">
        <v>79868.7</v>
      </c>
      <c r="M116" s="33">
        <v>4937.7</v>
      </c>
      <c r="N116" s="27">
        <f t="shared" si="173"/>
        <v>395081.1</v>
      </c>
      <c r="O116" s="33">
        <v>11197.6</v>
      </c>
      <c r="P116" s="33">
        <v>362056.5</v>
      </c>
      <c r="Q116" s="33">
        <v>21827</v>
      </c>
      <c r="R116" s="27">
        <f t="shared" si="174"/>
        <v>430953.8</v>
      </c>
      <c r="S116" s="33">
        <v>12441.8</v>
      </c>
      <c r="T116" s="33">
        <v>402285</v>
      </c>
      <c r="U116" s="33">
        <v>16227</v>
      </c>
      <c r="V116" s="63">
        <f t="shared" si="148"/>
        <v>0.216</v>
      </c>
      <c r="X116"/>
    </row>
    <row r="117" spans="1:101" ht="49.5">
      <c r="A117" s="24" t="s">
        <v>72</v>
      </c>
      <c r="B117" s="48" t="s">
        <v>215</v>
      </c>
      <c r="C117" s="26" t="s">
        <v>12</v>
      </c>
      <c r="D117" s="26" t="s">
        <v>12</v>
      </c>
      <c r="E117" s="26" t="s">
        <v>12</v>
      </c>
      <c r="F117" s="28">
        <f>G117+H117+I117</f>
        <v>2712517.2</v>
      </c>
      <c r="G117" s="28">
        <f>SUM(G119:G121)</f>
        <v>450552.7</v>
      </c>
      <c r="H117" s="28">
        <f>SUM(H119:H121)</f>
        <v>2167045.4</v>
      </c>
      <c r="I117" s="88">
        <v>94919.1</v>
      </c>
      <c r="J117" s="28">
        <f t="shared" si="172"/>
        <v>243288.4</v>
      </c>
      <c r="K117" s="28">
        <f>SUM(K119:K121)</f>
        <v>62224.6</v>
      </c>
      <c r="L117" s="28">
        <f>SUM(L119:L121)</f>
        <v>129644.9</v>
      </c>
      <c r="M117" s="28">
        <v>51418.9</v>
      </c>
      <c r="N117" s="27">
        <f t="shared" si="173"/>
        <v>2094984.9</v>
      </c>
      <c r="O117" s="28">
        <f>SUM(O119:O121)</f>
        <v>940551.2</v>
      </c>
      <c r="P117" s="28">
        <f>SUM(P119:P121)</f>
        <v>1110415.6000000001</v>
      </c>
      <c r="Q117" s="94">
        <v>44018.1</v>
      </c>
      <c r="R117" s="27">
        <f t="shared" si="174"/>
        <v>900428.2</v>
      </c>
      <c r="S117" s="28">
        <f>SUM(S119:S121)</f>
        <v>44120</v>
      </c>
      <c r="T117" s="28">
        <f>SUM(T119:T121)</f>
        <v>812290.1</v>
      </c>
      <c r="U117" s="28">
        <v>44018.1</v>
      </c>
      <c r="V117" s="38">
        <f t="shared" si="148"/>
        <v>0.09</v>
      </c>
      <c r="X117" s="97"/>
    </row>
    <row r="118" spans="1:101" ht="18.75">
      <c r="A118" s="24"/>
      <c r="B118" s="61" t="s">
        <v>15</v>
      </c>
      <c r="C118" s="62"/>
      <c r="D118" s="62"/>
      <c r="E118" s="62"/>
      <c r="F118" s="28"/>
      <c r="G118" s="28"/>
      <c r="H118" s="28"/>
      <c r="I118" s="28"/>
      <c r="J118" s="28"/>
      <c r="K118" s="28"/>
      <c r="L118" s="28"/>
      <c r="M118" s="28"/>
      <c r="N118" s="27"/>
      <c r="O118" s="28"/>
      <c r="P118" s="28"/>
      <c r="Q118" s="28"/>
      <c r="R118" s="27"/>
      <c r="S118" s="28"/>
      <c r="T118" s="28"/>
      <c r="U118" s="28"/>
      <c r="V118" s="38"/>
    </row>
    <row r="119" spans="1:101" ht="49.5">
      <c r="A119" s="24"/>
      <c r="B119" s="41" t="s">
        <v>296</v>
      </c>
      <c r="C119" s="35">
        <v>821</v>
      </c>
      <c r="D119" s="36" t="s">
        <v>19</v>
      </c>
      <c r="E119" s="35" t="s">
        <v>297</v>
      </c>
      <c r="F119" s="28">
        <f t="shared" si="138"/>
        <v>44760</v>
      </c>
      <c r="G119" s="33">
        <v>44760</v>
      </c>
      <c r="H119" s="33"/>
      <c r="I119" s="33"/>
      <c r="J119" s="28">
        <f t="shared" ref="J119:J122" si="175">K119+L119+M119</f>
        <v>0</v>
      </c>
      <c r="K119" s="33"/>
      <c r="L119" s="33"/>
      <c r="M119" s="33"/>
      <c r="N119" s="27">
        <f t="shared" ref="N119:N122" si="176">O119+P119+Q119</f>
        <v>0</v>
      </c>
      <c r="O119" s="33">
        <v>0</v>
      </c>
      <c r="P119" s="33"/>
      <c r="Q119" s="33"/>
      <c r="R119" s="27">
        <f t="shared" ref="R119:R122" si="177">S119+T119+U119</f>
        <v>0</v>
      </c>
      <c r="S119" s="33">
        <v>0</v>
      </c>
      <c r="T119" s="33"/>
      <c r="U119" s="33"/>
      <c r="V119" s="63">
        <f t="shared" si="148"/>
        <v>0</v>
      </c>
    </row>
    <row r="120" spans="1:101" ht="82.5">
      <c r="A120" s="24"/>
      <c r="B120" s="41" t="s">
        <v>298</v>
      </c>
      <c r="C120" s="35">
        <v>821</v>
      </c>
      <c r="D120" s="36" t="s">
        <v>19</v>
      </c>
      <c r="E120" s="35" t="s">
        <v>156</v>
      </c>
      <c r="F120" s="28">
        <f t="shared" si="138"/>
        <v>2167045.4</v>
      </c>
      <c r="G120" s="33"/>
      <c r="H120" s="33">
        <f>550389.8+712705.5+23500.6+880449.5</f>
        <v>2167045.4</v>
      </c>
      <c r="I120" s="33"/>
      <c r="J120" s="28">
        <f t="shared" si="175"/>
        <v>129644.9</v>
      </c>
      <c r="K120" s="33"/>
      <c r="L120" s="33">
        <v>129644.9</v>
      </c>
      <c r="M120" s="33"/>
      <c r="N120" s="27">
        <f t="shared" si="176"/>
        <v>1110415.6000000001</v>
      </c>
      <c r="O120" s="33"/>
      <c r="P120" s="33">
        <f>1376608.2-266192.6</f>
        <v>1110415.6000000001</v>
      </c>
      <c r="Q120" s="33"/>
      <c r="R120" s="27">
        <f t="shared" si="177"/>
        <v>812290.1</v>
      </c>
      <c r="S120" s="33"/>
      <c r="T120" s="33">
        <f>1426547-614256.9</f>
        <v>812290.1</v>
      </c>
      <c r="U120" s="33"/>
      <c r="V120" s="63">
        <f t="shared" ref="V120:V121" si="178">J120/F120</f>
        <v>0.06</v>
      </c>
    </row>
    <row r="121" spans="1:101" ht="47.25" customHeight="1">
      <c r="A121" s="24"/>
      <c r="B121" s="41" t="s">
        <v>107</v>
      </c>
      <c r="C121" s="35" t="s">
        <v>258</v>
      </c>
      <c r="D121" s="36" t="s">
        <v>19</v>
      </c>
      <c r="E121" s="35" t="s">
        <v>177</v>
      </c>
      <c r="F121" s="28">
        <f t="shared" ref="F121" si="179">G121+H121+I121</f>
        <v>405792.7</v>
      </c>
      <c r="G121" s="33">
        <f>491052.5+87066.68-172326.5</f>
        <v>405792.7</v>
      </c>
      <c r="H121" s="33"/>
      <c r="I121" s="33"/>
      <c r="J121" s="28">
        <f t="shared" ref="J121" si="180">K121+L121+M121</f>
        <v>62224.6</v>
      </c>
      <c r="K121" s="33">
        <v>62224.6</v>
      </c>
      <c r="L121" s="33"/>
      <c r="M121" s="33"/>
      <c r="N121" s="27">
        <f t="shared" ref="N121" si="181">O121+P121+Q121</f>
        <v>940551.2</v>
      </c>
      <c r="O121" s="33">
        <v>940551.2</v>
      </c>
      <c r="P121" s="33"/>
      <c r="Q121" s="33"/>
      <c r="R121" s="27">
        <f t="shared" ref="R121" si="182">S121+T121+U121</f>
        <v>44120</v>
      </c>
      <c r="S121" s="33">
        <v>44120</v>
      </c>
      <c r="T121" s="33"/>
      <c r="U121" s="33"/>
      <c r="V121" s="63">
        <f t="shared" si="178"/>
        <v>0.153</v>
      </c>
    </row>
    <row r="122" spans="1:101" ht="27.75" customHeight="1">
      <c r="A122" s="24" t="s">
        <v>214</v>
      </c>
      <c r="B122" s="48" t="s">
        <v>333</v>
      </c>
      <c r="C122" s="62" t="s">
        <v>12</v>
      </c>
      <c r="D122" s="62" t="s">
        <v>12</v>
      </c>
      <c r="E122" s="62" t="s">
        <v>12</v>
      </c>
      <c r="F122" s="28">
        <f>G122+H122+I122</f>
        <v>233354.9</v>
      </c>
      <c r="G122" s="28">
        <f>G126+G124+G125</f>
        <v>23841.5</v>
      </c>
      <c r="H122" s="28">
        <f t="shared" ref="H122:I122" si="183">H126+H124+H125</f>
        <v>200644.2</v>
      </c>
      <c r="I122" s="28">
        <f t="shared" si="183"/>
        <v>8869.2000000000007</v>
      </c>
      <c r="J122" s="28">
        <f t="shared" si="175"/>
        <v>91711.8</v>
      </c>
      <c r="K122" s="28">
        <f>K126+K124+K125</f>
        <v>11662.4</v>
      </c>
      <c r="L122" s="28">
        <f t="shared" ref="L122:M122" si="184">L126+L124+L125</f>
        <v>77859.5</v>
      </c>
      <c r="M122" s="28">
        <f t="shared" si="184"/>
        <v>2189.9</v>
      </c>
      <c r="N122" s="27">
        <f t="shared" si="176"/>
        <v>357291.5</v>
      </c>
      <c r="O122" s="28">
        <f>O126+O124+O125</f>
        <v>9775</v>
      </c>
      <c r="P122" s="28">
        <f t="shared" ref="P122:Q122" si="185">P126+P124+P125</f>
        <v>347516.5</v>
      </c>
      <c r="Q122" s="28">
        <f t="shared" si="185"/>
        <v>0</v>
      </c>
      <c r="R122" s="27">
        <f t="shared" si="177"/>
        <v>169304.7</v>
      </c>
      <c r="S122" s="28">
        <f>S126+S124+S125</f>
        <v>9775</v>
      </c>
      <c r="T122" s="28">
        <f t="shared" ref="T122:U122" si="186">T126+T124+T125</f>
        <v>159529.70000000001</v>
      </c>
      <c r="U122" s="28">
        <f t="shared" si="186"/>
        <v>0</v>
      </c>
      <c r="V122" s="29">
        <f t="shared" si="148"/>
        <v>0.39300000000000002</v>
      </c>
    </row>
    <row r="123" spans="1:101" ht="18.75">
      <c r="A123" s="39"/>
      <c r="B123" s="61" t="s">
        <v>15</v>
      </c>
      <c r="C123" s="32"/>
      <c r="D123" s="42"/>
      <c r="E123" s="32"/>
      <c r="F123" s="28"/>
      <c r="G123" s="33"/>
      <c r="H123" s="33"/>
      <c r="I123" s="33"/>
      <c r="J123" s="28"/>
      <c r="K123" s="33"/>
      <c r="L123" s="33"/>
      <c r="M123" s="33"/>
      <c r="N123" s="27"/>
      <c r="O123" s="33"/>
      <c r="P123" s="33"/>
      <c r="Q123" s="33"/>
      <c r="R123" s="27"/>
      <c r="S123" s="33"/>
      <c r="T123" s="33"/>
      <c r="U123" s="33"/>
      <c r="V123" s="63"/>
    </row>
    <row r="124" spans="1:101" ht="82.5">
      <c r="A124" s="39"/>
      <c r="B124" s="41" t="s">
        <v>178</v>
      </c>
      <c r="C124" s="35" t="s">
        <v>299</v>
      </c>
      <c r="D124" s="36" t="s">
        <v>82</v>
      </c>
      <c r="E124" s="35" t="s">
        <v>218</v>
      </c>
      <c r="F124" s="28">
        <f t="shared" si="138"/>
        <v>9775</v>
      </c>
      <c r="G124" s="33">
        <v>9775</v>
      </c>
      <c r="H124" s="33"/>
      <c r="I124" s="33"/>
      <c r="J124" s="28">
        <f t="shared" ref="J124:J126" si="187">K124+L124+M124</f>
        <v>9775</v>
      </c>
      <c r="K124" s="33">
        <v>9775</v>
      </c>
      <c r="L124" s="33"/>
      <c r="M124" s="33"/>
      <c r="N124" s="27">
        <f t="shared" ref="N124:N126" si="188">O124+P124+Q124</f>
        <v>9775</v>
      </c>
      <c r="O124" s="33">
        <v>9775</v>
      </c>
      <c r="P124" s="33"/>
      <c r="Q124" s="33"/>
      <c r="R124" s="27">
        <f t="shared" ref="R124:R126" si="189">S124+T124+U124</f>
        <v>9775</v>
      </c>
      <c r="S124" s="33">
        <v>9775</v>
      </c>
      <c r="T124" s="33"/>
      <c r="U124" s="33"/>
      <c r="V124" s="63">
        <f t="shared" si="148"/>
        <v>1</v>
      </c>
    </row>
    <row r="125" spans="1:101" ht="51.75" customHeight="1">
      <c r="A125" s="39"/>
      <c r="B125" s="91" t="s">
        <v>330</v>
      </c>
      <c r="C125" s="92">
        <v>828</v>
      </c>
      <c r="D125" s="93" t="s">
        <v>82</v>
      </c>
      <c r="E125" s="92" t="s">
        <v>331</v>
      </c>
      <c r="F125" s="27">
        <f t="shared" si="138"/>
        <v>11253.9</v>
      </c>
      <c r="G125" s="33">
        <v>9156.5</v>
      </c>
      <c r="H125" s="33"/>
      <c r="I125" s="33">
        <v>2097.4</v>
      </c>
      <c r="J125" s="27">
        <f t="shared" si="187"/>
        <v>0</v>
      </c>
      <c r="K125" s="33"/>
      <c r="L125" s="33"/>
      <c r="M125" s="33"/>
      <c r="N125" s="27">
        <f t="shared" si="188"/>
        <v>0</v>
      </c>
      <c r="O125" s="33"/>
      <c r="P125" s="33"/>
      <c r="Q125" s="33"/>
      <c r="R125" s="27">
        <f t="shared" si="189"/>
        <v>0</v>
      </c>
      <c r="S125" s="33"/>
      <c r="T125" s="33"/>
      <c r="U125" s="33"/>
      <c r="V125" s="63">
        <f t="shared" si="148"/>
        <v>0</v>
      </c>
    </row>
    <row r="126" spans="1:101" ht="61.5" customHeight="1">
      <c r="A126" s="39"/>
      <c r="B126" s="41" t="s">
        <v>81</v>
      </c>
      <c r="C126" s="35" t="s">
        <v>299</v>
      </c>
      <c r="D126" s="36" t="s">
        <v>82</v>
      </c>
      <c r="E126" s="35" t="s">
        <v>217</v>
      </c>
      <c r="F126" s="28">
        <f t="shared" si="138"/>
        <v>212326</v>
      </c>
      <c r="G126" s="33">
        <v>4910</v>
      </c>
      <c r="H126" s="33">
        <v>200644.2</v>
      </c>
      <c r="I126" s="33">
        <v>6771.8</v>
      </c>
      <c r="J126" s="28">
        <f t="shared" si="187"/>
        <v>81936.800000000003</v>
      </c>
      <c r="K126" s="33">
        <v>1887.4</v>
      </c>
      <c r="L126" s="33">
        <v>77859.5</v>
      </c>
      <c r="M126" s="33">
        <v>2189.9</v>
      </c>
      <c r="N126" s="27">
        <f t="shared" si="188"/>
        <v>347516.5</v>
      </c>
      <c r="O126" s="33">
        <v>0</v>
      </c>
      <c r="P126" s="33">
        <v>347516.5</v>
      </c>
      <c r="Q126" s="33"/>
      <c r="R126" s="27">
        <f t="shared" si="189"/>
        <v>159529.70000000001</v>
      </c>
      <c r="S126" s="33">
        <v>0</v>
      </c>
      <c r="T126" s="33">
        <v>159529.70000000001</v>
      </c>
      <c r="U126" s="33"/>
      <c r="V126" s="63">
        <f t="shared" si="148"/>
        <v>0.38600000000000001</v>
      </c>
    </row>
    <row r="127" spans="1:101" s="66" customFormat="1" ht="28.5" customHeight="1">
      <c r="A127" s="19" t="s">
        <v>73</v>
      </c>
      <c r="B127" s="20" t="s">
        <v>74</v>
      </c>
      <c r="C127" s="21" t="s">
        <v>12</v>
      </c>
      <c r="D127" s="21" t="s">
        <v>12</v>
      </c>
      <c r="E127" s="21" t="s">
        <v>12</v>
      </c>
      <c r="F127" s="45">
        <f t="shared" si="138"/>
        <v>107066.1</v>
      </c>
      <c r="G127" s="45">
        <f>G128+G133+G136</f>
        <v>11749.5</v>
      </c>
      <c r="H127" s="45">
        <f>H128+H133+H136</f>
        <v>91400.1</v>
      </c>
      <c r="I127" s="45">
        <f>I128+I133+I136</f>
        <v>3916.5</v>
      </c>
      <c r="J127" s="45">
        <f t="shared" ref="J127:J128" si="190">K127+L127+M127</f>
        <v>12508.5</v>
      </c>
      <c r="K127" s="45">
        <f>K128+K133+K136</f>
        <v>1089.4000000000001</v>
      </c>
      <c r="L127" s="45">
        <f>L128+L133+L136</f>
        <v>11055.9</v>
      </c>
      <c r="M127" s="45">
        <f>M128+M133+M136</f>
        <v>363.2</v>
      </c>
      <c r="N127" s="45">
        <f t="shared" ref="N127:N128" si="191">O127+P127+Q127</f>
        <v>140002.70000000001</v>
      </c>
      <c r="O127" s="45">
        <f>O128+O133+O136</f>
        <v>12210</v>
      </c>
      <c r="P127" s="45">
        <f>P128+P133+P136</f>
        <v>123722.7</v>
      </c>
      <c r="Q127" s="45">
        <f>Q128+Q133+Q136</f>
        <v>4070</v>
      </c>
      <c r="R127" s="45">
        <f t="shared" ref="R127:R128" si="192">S127+T127+U127</f>
        <v>154447.79999999999</v>
      </c>
      <c r="S127" s="45">
        <f>S128+S133+S136</f>
        <v>10726.2</v>
      </c>
      <c r="T127" s="45">
        <f>T128+T133+T136</f>
        <v>143721.60000000001</v>
      </c>
      <c r="U127" s="45">
        <f>U128+U133+U136</f>
        <v>0</v>
      </c>
      <c r="V127" s="46">
        <f t="shared" si="148"/>
        <v>0.11700000000000001</v>
      </c>
      <c r="W127" s="3"/>
      <c r="X127" s="18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</row>
    <row r="128" spans="1:101" ht="33">
      <c r="A128" s="11" t="s">
        <v>75</v>
      </c>
      <c r="B128" s="25" t="s">
        <v>76</v>
      </c>
      <c r="C128" s="37" t="s">
        <v>12</v>
      </c>
      <c r="D128" s="37" t="s">
        <v>12</v>
      </c>
      <c r="E128" s="37" t="s">
        <v>12</v>
      </c>
      <c r="F128" s="28">
        <f t="shared" si="138"/>
        <v>9178.7999999999993</v>
      </c>
      <c r="G128" s="28">
        <f>SUM(G130:G131)</f>
        <v>0</v>
      </c>
      <c r="H128" s="28">
        <f>SUM(H130:H131)</f>
        <v>9178.7999999999993</v>
      </c>
      <c r="I128" s="28">
        <f>SUM(I130:I131)</f>
        <v>0</v>
      </c>
      <c r="J128" s="28">
        <f t="shared" si="190"/>
        <v>3765.1</v>
      </c>
      <c r="K128" s="28">
        <f>SUM(K130:K131)</f>
        <v>0</v>
      </c>
      <c r="L128" s="28">
        <f>SUM(L130:L131)</f>
        <v>3765.1</v>
      </c>
      <c r="M128" s="28">
        <f>SUM(M130:M131)</f>
        <v>0</v>
      </c>
      <c r="N128" s="27">
        <f t="shared" si="191"/>
        <v>16009.3</v>
      </c>
      <c r="O128" s="28">
        <f>SUM(O130:O131)</f>
        <v>0</v>
      </c>
      <c r="P128" s="28">
        <f>SUM(P130:P131)</f>
        <v>16009.3</v>
      </c>
      <c r="Q128" s="28">
        <f>SUM(Q130:Q131)</f>
        <v>0</v>
      </c>
      <c r="R128" s="27">
        <f t="shared" si="192"/>
        <v>34938.6</v>
      </c>
      <c r="S128" s="28">
        <f>SUM(S130:S131)</f>
        <v>0</v>
      </c>
      <c r="T128" s="28">
        <f>SUM(T130:T131)</f>
        <v>34938.6</v>
      </c>
      <c r="U128" s="28">
        <f>SUM(U130:U131)</f>
        <v>0</v>
      </c>
      <c r="V128" s="38">
        <f t="shared" si="148"/>
        <v>0.41</v>
      </c>
    </row>
    <row r="129" spans="1:101" ht="18.75">
      <c r="A129" s="14"/>
      <c r="B129" s="31" t="s">
        <v>15</v>
      </c>
      <c r="C129" s="57"/>
      <c r="D129" s="57"/>
      <c r="E129" s="57"/>
      <c r="F129" s="28"/>
      <c r="G129" s="28"/>
      <c r="H129" s="28"/>
      <c r="I129" s="28"/>
      <c r="J129" s="28"/>
      <c r="K129" s="28"/>
      <c r="L129" s="28"/>
      <c r="M129" s="28"/>
      <c r="N129" s="27"/>
      <c r="O129" s="28"/>
      <c r="P129" s="28"/>
      <c r="Q129" s="28"/>
      <c r="R129" s="27"/>
      <c r="S129" s="28"/>
      <c r="T129" s="28"/>
      <c r="U129" s="28"/>
      <c r="V129" s="38"/>
    </row>
    <row r="130" spans="1:101" ht="36.75" customHeight="1">
      <c r="A130" s="39"/>
      <c r="B130" s="90" t="s">
        <v>77</v>
      </c>
      <c r="C130" s="35" t="s">
        <v>300</v>
      </c>
      <c r="D130" s="36" t="s">
        <v>78</v>
      </c>
      <c r="E130" s="35" t="s">
        <v>157</v>
      </c>
      <c r="F130" s="28">
        <f t="shared" ref="F130:F172" si="193">G130+H130+I130</f>
        <v>5791.6</v>
      </c>
      <c r="G130" s="33"/>
      <c r="H130" s="33">
        <v>5791.6</v>
      </c>
      <c r="I130" s="33"/>
      <c r="J130" s="28">
        <f t="shared" ref="J130:J131" si="194">K130+L130+M130</f>
        <v>3765.1</v>
      </c>
      <c r="K130" s="33"/>
      <c r="L130" s="33">
        <v>3765.1</v>
      </c>
      <c r="M130" s="33"/>
      <c r="N130" s="27">
        <f t="shared" ref="N130:N131" si="195">O130+P130+Q130</f>
        <v>6257</v>
      </c>
      <c r="O130" s="33"/>
      <c r="P130" s="33">
        <v>6257</v>
      </c>
      <c r="Q130" s="33"/>
      <c r="R130" s="27">
        <f t="shared" ref="R130:R131" si="196">S130+T130+U130</f>
        <v>6244.8</v>
      </c>
      <c r="S130" s="33"/>
      <c r="T130" s="33">
        <v>6244.8</v>
      </c>
      <c r="U130" s="33"/>
      <c r="V130" s="63">
        <f t="shared" ref="V130:V172" si="197">J130/F130</f>
        <v>0.65</v>
      </c>
    </row>
    <row r="131" spans="1:101" ht="90" customHeight="1">
      <c r="A131" s="39"/>
      <c r="B131" s="41" t="s">
        <v>79</v>
      </c>
      <c r="C131" s="35" t="s">
        <v>300</v>
      </c>
      <c r="D131" s="36" t="s">
        <v>78</v>
      </c>
      <c r="E131" s="35" t="s">
        <v>158</v>
      </c>
      <c r="F131" s="28">
        <f t="shared" si="193"/>
        <v>3387.2</v>
      </c>
      <c r="G131" s="33"/>
      <c r="H131" s="33">
        <v>3387.2</v>
      </c>
      <c r="I131" s="33"/>
      <c r="J131" s="28">
        <f t="shared" si="194"/>
        <v>0</v>
      </c>
      <c r="K131" s="33"/>
      <c r="L131" s="33"/>
      <c r="M131" s="33"/>
      <c r="N131" s="27">
        <f t="shared" si="195"/>
        <v>9752.2999999999993</v>
      </c>
      <c r="O131" s="33"/>
      <c r="P131" s="33">
        <v>9752.2999999999993</v>
      </c>
      <c r="Q131" s="33"/>
      <c r="R131" s="27">
        <f t="shared" si="196"/>
        <v>28693.8</v>
      </c>
      <c r="S131" s="33"/>
      <c r="T131" s="33">
        <v>28693.8</v>
      </c>
      <c r="U131" s="33"/>
      <c r="V131" s="63">
        <f t="shared" si="197"/>
        <v>0</v>
      </c>
    </row>
    <row r="132" spans="1:101" ht="18.75">
      <c r="A132" s="39"/>
      <c r="B132" s="40" t="s">
        <v>15</v>
      </c>
      <c r="C132" s="32"/>
      <c r="D132" s="32"/>
      <c r="E132" s="32"/>
      <c r="F132" s="28"/>
      <c r="G132" s="28"/>
      <c r="H132" s="28"/>
      <c r="I132" s="28"/>
      <c r="J132" s="28"/>
      <c r="K132" s="28"/>
      <c r="L132" s="28"/>
      <c r="M132" s="28"/>
      <c r="N132" s="27"/>
      <c r="O132" s="28"/>
      <c r="P132" s="28"/>
      <c r="Q132" s="28"/>
      <c r="R132" s="27"/>
      <c r="S132" s="28"/>
      <c r="T132" s="28"/>
      <c r="U132" s="28"/>
      <c r="V132" s="38"/>
    </row>
    <row r="133" spans="1:101" ht="38.25" customHeight="1">
      <c r="A133" s="24" t="s">
        <v>80</v>
      </c>
      <c r="B133" s="48" t="s">
        <v>301</v>
      </c>
      <c r="C133" s="26" t="s">
        <v>12</v>
      </c>
      <c r="D133" s="26" t="s">
        <v>12</v>
      </c>
      <c r="E133" s="26" t="s">
        <v>12</v>
      </c>
      <c r="F133" s="28">
        <f t="shared" si="193"/>
        <v>3590</v>
      </c>
      <c r="G133" s="28">
        <f>G135</f>
        <v>0</v>
      </c>
      <c r="H133" s="28">
        <f t="shared" ref="H133:I133" si="198">H135</f>
        <v>3590</v>
      </c>
      <c r="I133" s="28">
        <f t="shared" si="198"/>
        <v>0</v>
      </c>
      <c r="J133" s="27">
        <f t="shared" ref="J133" si="199">K133+L133+M133</f>
        <v>0</v>
      </c>
      <c r="K133" s="28">
        <f>+K135</f>
        <v>0</v>
      </c>
      <c r="L133" s="28">
        <f t="shared" ref="L133:M133" si="200">+L135</f>
        <v>0</v>
      </c>
      <c r="M133" s="28">
        <f t="shared" si="200"/>
        <v>0</v>
      </c>
      <c r="N133" s="27">
        <f t="shared" ref="N133" si="201">O133+P133+Q133</f>
        <v>26000</v>
      </c>
      <c r="O133" s="28">
        <f>O135</f>
        <v>0</v>
      </c>
      <c r="P133" s="28">
        <f t="shared" ref="P133:Q133" si="202">P135</f>
        <v>26000</v>
      </c>
      <c r="Q133" s="28">
        <f t="shared" si="202"/>
        <v>0</v>
      </c>
      <c r="R133" s="27">
        <f t="shared" ref="R133" si="203">S133+T133+U133</f>
        <v>37000</v>
      </c>
      <c r="S133" s="28">
        <f>S135</f>
        <v>0</v>
      </c>
      <c r="T133" s="28">
        <f t="shared" ref="T133:U133" si="204">T135</f>
        <v>37000</v>
      </c>
      <c r="U133" s="28">
        <f t="shared" si="204"/>
        <v>0</v>
      </c>
      <c r="V133" s="29">
        <f t="shared" si="197"/>
        <v>0</v>
      </c>
    </row>
    <row r="134" spans="1:101" ht="18.75">
      <c r="A134" s="39"/>
      <c r="B134" s="40" t="s">
        <v>15</v>
      </c>
      <c r="C134" s="32"/>
      <c r="D134" s="32"/>
      <c r="E134" s="32"/>
      <c r="F134" s="28"/>
      <c r="G134" s="28"/>
      <c r="H134" s="28"/>
      <c r="I134" s="28"/>
      <c r="J134" s="28"/>
      <c r="K134" s="28"/>
      <c r="L134" s="28"/>
      <c r="M134" s="28"/>
      <c r="N134" s="27"/>
      <c r="O134" s="28"/>
      <c r="P134" s="28"/>
      <c r="Q134" s="28"/>
      <c r="R134" s="27"/>
      <c r="S134" s="28"/>
      <c r="T134" s="28"/>
      <c r="U134" s="28"/>
      <c r="V134" s="29"/>
    </row>
    <row r="135" spans="1:101" ht="51.75" customHeight="1">
      <c r="A135" s="39"/>
      <c r="B135" s="41" t="s">
        <v>226</v>
      </c>
      <c r="C135" s="35">
        <v>810</v>
      </c>
      <c r="D135" s="36" t="s">
        <v>84</v>
      </c>
      <c r="E135" s="35" t="s">
        <v>227</v>
      </c>
      <c r="F135" s="28">
        <f t="shared" si="193"/>
        <v>3590</v>
      </c>
      <c r="G135" s="28"/>
      <c r="H135" s="28">
        <v>3590</v>
      </c>
      <c r="I135" s="28"/>
      <c r="J135" s="28">
        <f t="shared" ref="J135:J136" si="205">K135+L135+M135</f>
        <v>0</v>
      </c>
      <c r="K135" s="28"/>
      <c r="L135" s="28"/>
      <c r="M135" s="28"/>
      <c r="N135" s="27">
        <f t="shared" ref="N135:N136" si="206">O135+P135+Q135</f>
        <v>26000</v>
      </c>
      <c r="O135" s="28"/>
      <c r="P135" s="33">
        <v>26000</v>
      </c>
      <c r="Q135" s="28"/>
      <c r="R135" s="27">
        <f t="shared" ref="R135:R136" si="207">S135+T135+U135</f>
        <v>37000</v>
      </c>
      <c r="S135" s="28"/>
      <c r="T135" s="33">
        <v>37000</v>
      </c>
      <c r="U135" s="33"/>
      <c r="V135" s="29">
        <f t="shared" si="197"/>
        <v>0</v>
      </c>
    </row>
    <row r="136" spans="1:101" s="8" customFormat="1" ht="26.25" customHeight="1">
      <c r="A136" s="24" t="s">
        <v>83</v>
      </c>
      <c r="B136" s="48" t="s">
        <v>160</v>
      </c>
      <c r="C136" s="62" t="s">
        <v>12</v>
      </c>
      <c r="D136" s="10" t="s">
        <v>12</v>
      </c>
      <c r="E136" s="62" t="s">
        <v>12</v>
      </c>
      <c r="F136" s="28">
        <f t="shared" si="193"/>
        <v>94297.3</v>
      </c>
      <c r="G136" s="28">
        <f t="shared" ref="G136:H136" si="208">G138</f>
        <v>11749.5</v>
      </c>
      <c r="H136" s="28">
        <f t="shared" si="208"/>
        <v>78631.3</v>
      </c>
      <c r="I136" s="28">
        <f t="shared" ref="I136" si="209">I138</f>
        <v>3916.5</v>
      </c>
      <c r="J136" s="28">
        <f t="shared" si="205"/>
        <v>8743.4</v>
      </c>
      <c r="K136" s="28">
        <f t="shared" ref="K136:M136" si="210">K138</f>
        <v>1089.4000000000001</v>
      </c>
      <c r="L136" s="28">
        <f t="shared" si="210"/>
        <v>7290.8</v>
      </c>
      <c r="M136" s="28">
        <f t="shared" si="210"/>
        <v>363.2</v>
      </c>
      <c r="N136" s="28">
        <f t="shared" si="206"/>
        <v>97993.4</v>
      </c>
      <c r="O136" s="28">
        <f t="shared" ref="O136:T136" si="211">O138</f>
        <v>12210</v>
      </c>
      <c r="P136" s="28">
        <f t="shared" si="211"/>
        <v>81713.399999999994</v>
      </c>
      <c r="Q136" s="28">
        <f t="shared" si="211"/>
        <v>4070</v>
      </c>
      <c r="R136" s="28">
        <f t="shared" si="207"/>
        <v>82509.2</v>
      </c>
      <c r="S136" s="28">
        <f t="shared" si="211"/>
        <v>10726.2</v>
      </c>
      <c r="T136" s="28">
        <f t="shared" si="211"/>
        <v>71783</v>
      </c>
      <c r="U136" s="28">
        <f t="shared" ref="U136" si="212">U138</f>
        <v>0</v>
      </c>
      <c r="V136" s="38">
        <f t="shared" si="197"/>
        <v>9.2999999999999999E-2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</row>
    <row r="137" spans="1:101" ht="18.75">
      <c r="A137" s="39"/>
      <c r="B137" s="40" t="s">
        <v>15</v>
      </c>
      <c r="C137" s="32"/>
      <c r="D137" s="42"/>
      <c r="E137" s="32"/>
      <c r="F137" s="28"/>
      <c r="G137" s="28"/>
      <c r="H137" s="28"/>
      <c r="I137" s="28"/>
      <c r="J137" s="28"/>
      <c r="K137" s="28"/>
      <c r="L137" s="28"/>
      <c r="M137" s="28"/>
      <c r="N137" s="27"/>
      <c r="O137" s="28"/>
      <c r="P137" s="28"/>
      <c r="Q137" s="28"/>
      <c r="R137" s="27"/>
      <c r="S137" s="28"/>
      <c r="T137" s="28"/>
      <c r="U137" s="28"/>
      <c r="V137" s="38"/>
    </row>
    <row r="138" spans="1:101" ht="56.25" customHeight="1">
      <c r="A138" s="39"/>
      <c r="B138" s="41" t="s">
        <v>162</v>
      </c>
      <c r="C138" s="35">
        <v>810</v>
      </c>
      <c r="D138" s="36" t="s">
        <v>84</v>
      </c>
      <c r="E138" s="35" t="s">
        <v>161</v>
      </c>
      <c r="F138" s="28">
        <f t="shared" si="193"/>
        <v>94297.3</v>
      </c>
      <c r="G138" s="33">
        <v>11749.5</v>
      </c>
      <c r="H138" s="33">
        <v>78631.3</v>
      </c>
      <c r="I138" s="33">
        <v>3916.5</v>
      </c>
      <c r="J138" s="28">
        <f t="shared" ref="J138:J145" si="213">K138+L138+M138</f>
        <v>8743.4</v>
      </c>
      <c r="K138" s="33">
        <v>1089.4000000000001</v>
      </c>
      <c r="L138" s="33">
        <v>7290.8</v>
      </c>
      <c r="M138" s="33">
        <v>363.2</v>
      </c>
      <c r="N138" s="27">
        <f t="shared" ref="N138:N140" si="214">O138+P138+Q138</f>
        <v>97993.4</v>
      </c>
      <c r="O138" s="33">
        <v>12210</v>
      </c>
      <c r="P138" s="33">
        <v>81713.399999999994</v>
      </c>
      <c r="Q138" s="33">
        <v>4070</v>
      </c>
      <c r="R138" s="27">
        <f t="shared" ref="R138:R140" si="215">S138+T138+U138</f>
        <v>82509.2</v>
      </c>
      <c r="S138" s="33">
        <v>10726.2</v>
      </c>
      <c r="T138" s="33">
        <v>71783</v>
      </c>
      <c r="U138" s="33"/>
      <c r="V138" s="63">
        <f t="shared" si="197"/>
        <v>9.2999999999999999E-2</v>
      </c>
    </row>
    <row r="139" spans="1:101" s="66" customFormat="1" ht="39" customHeight="1">
      <c r="A139" s="19" t="s">
        <v>85</v>
      </c>
      <c r="B139" s="60" t="s">
        <v>342</v>
      </c>
      <c r="C139" s="21" t="s">
        <v>12</v>
      </c>
      <c r="D139" s="21" t="s">
        <v>12</v>
      </c>
      <c r="E139" s="21" t="s">
        <v>12</v>
      </c>
      <c r="F139" s="45">
        <f t="shared" si="193"/>
        <v>6677444.5</v>
      </c>
      <c r="G139" s="45">
        <f>G140+G151+G147</f>
        <v>3681713.4</v>
      </c>
      <c r="H139" s="45">
        <f>H140+H151+H147</f>
        <v>2721581.9</v>
      </c>
      <c r="I139" s="45">
        <f>I140+I151+I147</f>
        <v>274149.2</v>
      </c>
      <c r="J139" s="45">
        <f t="shared" si="213"/>
        <v>2036598.5</v>
      </c>
      <c r="K139" s="45">
        <f>K140+K151+K147</f>
        <v>1048803.3999999999</v>
      </c>
      <c r="L139" s="45">
        <f>L140+L151+L147</f>
        <v>849060.9</v>
      </c>
      <c r="M139" s="45">
        <f>M140+M151+M147</f>
        <v>138734.20000000001</v>
      </c>
      <c r="N139" s="45">
        <f t="shared" si="214"/>
        <v>6491670.9000000004</v>
      </c>
      <c r="O139" s="45">
        <f>O140+O151+O147</f>
        <v>2943385.1</v>
      </c>
      <c r="P139" s="45">
        <f>P140+P151+P147</f>
        <v>3485108</v>
      </c>
      <c r="Q139" s="45">
        <f>Q140+Q151+Q147</f>
        <v>63177.8</v>
      </c>
      <c r="R139" s="45">
        <f t="shared" si="215"/>
        <v>8239147.5999999996</v>
      </c>
      <c r="S139" s="45">
        <f>S140+S151+S147</f>
        <v>4151290.8</v>
      </c>
      <c r="T139" s="45">
        <f>T140+T151+T147</f>
        <v>4024856.8</v>
      </c>
      <c r="U139" s="45">
        <f>U140+U151+U147</f>
        <v>63000</v>
      </c>
      <c r="V139" s="46">
        <f t="shared" si="197"/>
        <v>0.30499999999999999</v>
      </c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</row>
    <row r="140" spans="1:101" ht="48.75" customHeight="1">
      <c r="A140" s="11" t="s">
        <v>87</v>
      </c>
      <c r="B140" s="25" t="s">
        <v>307</v>
      </c>
      <c r="C140" s="58" t="s">
        <v>12</v>
      </c>
      <c r="D140" s="58" t="s">
        <v>12</v>
      </c>
      <c r="E140" s="58" t="s">
        <v>12</v>
      </c>
      <c r="F140" s="28">
        <f t="shared" si="193"/>
        <v>6263586.0999999996</v>
      </c>
      <c r="G140" s="28">
        <f>SUM(G142:G146)</f>
        <v>3403836.5</v>
      </c>
      <c r="H140" s="28">
        <f t="shared" ref="H140:I140" si="216">SUM(H142:H146)</f>
        <v>2585600.4</v>
      </c>
      <c r="I140" s="28">
        <f t="shared" si="216"/>
        <v>274149.2</v>
      </c>
      <c r="J140" s="28">
        <f t="shared" si="213"/>
        <v>1921940.6</v>
      </c>
      <c r="K140" s="28">
        <f>SUM(K142:K146)</f>
        <v>934145.5</v>
      </c>
      <c r="L140" s="28">
        <f t="shared" ref="L140:M140" si="217">SUM(L142:L146)</f>
        <v>849060.9</v>
      </c>
      <c r="M140" s="28">
        <f t="shared" si="217"/>
        <v>138734.20000000001</v>
      </c>
      <c r="N140" s="27">
        <f t="shared" si="214"/>
        <v>6082060.5999999996</v>
      </c>
      <c r="O140" s="28">
        <f>SUM(O142:O146)</f>
        <v>2689189.6</v>
      </c>
      <c r="P140" s="28">
        <f t="shared" ref="P140:Q140" si="218">SUM(P142:P146)</f>
        <v>3329693.2</v>
      </c>
      <c r="Q140" s="28">
        <f t="shared" si="218"/>
        <v>63177.8</v>
      </c>
      <c r="R140" s="27">
        <f t="shared" si="215"/>
        <v>7859352.7999999998</v>
      </c>
      <c r="S140" s="28">
        <f>SUM(S142:S146)</f>
        <v>3926910.8</v>
      </c>
      <c r="T140" s="28">
        <f t="shared" ref="T140:U140" si="219">SUM(T142:T146)</f>
        <v>3869442</v>
      </c>
      <c r="U140" s="28">
        <f t="shared" si="219"/>
        <v>63000</v>
      </c>
      <c r="V140" s="29">
        <f t="shared" si="197"/>
        <v>0.307</v>
      </c>
    </row>
    <row r="141" spans="1:101" ht="18.75">
      <c r="A141" s="14"/>
      <c r="B141" s="31" t="s">
        <v>15</v>
      </c>
      <c r="C141" s="57"/>
      <c r="D141" s="57"/>
      <c r="E141" s="57"/>
      <c r="F141" s="27"/>
      <c r="G141" s="28"/>
      <c r="H141" s="28"/>
      <c r="I141" s="28"/>
      <c r="J141" s="28"/>
      <c r="K141" s="28"/>
      <c r="L141" s="28"/>
      <c r="M141" s="28"/>
      <c r="N141" s="27"/>
      <c r="O141" s="28"/>
      <c r="P141" s="28"/>
      <c r="Q141" s="28"/>
      <c r="R141" s="27"/>
      <c r="S141" s="28"/>
      <c r="T141" s="28"/>
      <c r="U141" s="28"/>
      <c r="V141" s="38"/>
    </row>
    <row r="142" spans="1:101" ht="49.5">
      <c r="A142" s="39"/>
      <c r="B142" s="41" t="s">
        <v>302</v>
      </c>
      <c r="C142" s="36" t="s">
        <v>306</v>
      </c>
      <c r="D142" s="36" t="s">
        <v>88</v>
      </c>
      <c r="E142" s="35" t="s">
        <v>304</v>
      </c>
      <c r="F142" s="28">
        <f t="shared" si="193"/>
        <v>604201.6</v>
      </c>
      <c r="G142" s="28"/>
      <c r="H142" s="28">
        <v>604201.6</v>
      </c>
      <c r="I142" s="28"/>
      <c r="J142" s="28">
        <f t="shared" si="213"/>
        <v>500010.1</v>
      </c>
      <c r="K142" s="28"/>
      <c r="L142" s="28">
        <v>500010.1</v>
      </c>
      <c r="M142" s="28"/>
      <c r="N142" s="27">
        <f t="shared" ref="N142:N145" si="220">O142+P142+Q142</f>
        <v>684615.7</v>
      </c>
      <c r="O142" s="28"/>
      <c r="P142" s="28">
        <v>684615.7</v>
      </c>
      <c r="Q142" s="28"/>
      <c r="R142" s="27">
        <f t="shared" ref="R142:R146" si="221">S142+T142+U142</f>
        <v>0</v>
      </c>
      <c r="S142" s="28"/>
      <c r="T142" s="28"/>
      <c r="U142" s="28"/>
      <c r="V142" s="63">
        <f t="shared" si="197"/>
        <v>0.82799999999999996</v>
      </c>
    </row>
    <row r="143" spans="1:101" ht="60" customHeight="1">
      <c r="A143" s="39"/>
      <c r="B143" s="41" t="s">
        <v>355</v>
      </c>
      <c r="C143" s="36" t="s">
        <v>306</v>
      </c>
      <c r="D143" s="36" t="s">
        <v>88</v>
      </c>
      <c r="E143" s="35" t="s">
        <v>356</v>
      </c>
      <c r="F143" s="28">
        <f t="shared" si="193"/>
        <v>684614.5</v>
      </c>
      <c r="G143" s="28"/>
      <c r="H143" s="28">
        <v>684614.5</v>
      </c>
      <c r="I143" s="28"/>
      <c r="J143" s="28">
        <f t="shared" si="213"/>
        <v>55167.4</v>
      </c>
      <c r="K143" s="28"/>
      <c r="L143" s="28">
        <v>55167.4</v>
      </c>
      <c r="M143" s="28"/>
      <c r="N143" s="27">
        <f t="shared" si="220"/>
        <v>0</v>
      </c>
      <c r="O143" s="28"/>
      <c r="P143" s="28"/>
      <c r="Q143" s="28"/>
      <c r="R143" s="27">
        <f t="shared" si="221"/>
        <v>0</v>
      </c>
      <c r="S143" s="28"/>
      <c r="T143" s="28"/>
      <c r="U143" s="28"/>
      <c r="V143" s="63">
        <f t="shared" si="197"/>
        <v>8.1000000000000003E-2</v>
      </c>
    </row>
    <row r="144" spans="1:101" ht="56.25" customHeight="1">
      <c r="A144" s="39"/>
      <c r="B144" s="41" t="s">
        <v>253</v>
      </c>
      <c r="C144" s="36" t="s">
        <v>257</v>
      </c>
      <c r="D144" s="36" t="s">
        <v>17</v>
      </c>
      <c r="E144" s="35" t="s">
        <v>159</v>
      </c>
      <c r="F144" s="28">
        <f t="shared" si="193"/>
        <v>0</v>
      </c>
      <c r="G144" s="28">
        <f>367.5-367.5</f>
        <v>0</v>
      </c>
      <c r="H144" s="28"/>
      <c r="I144" s="28"/>
      <c r="J144" s="28">
        <f t="shared" si="213"/>
        <v>0</v>
      </c>
      <c r="K144" s="28"/>
      <c r="L144" s="28"/>
      <c r="M144" s="28"/>
      <c r="N144" s="27">
        <f t="shared" si="220"/>
        <v>0</v>
      </c>
      <c r="O144" s="28">
        <f>367.5-367.5</f>
        <v>0</v>
      </c>
      <c r="P144" s="28"/>
      <c r="Q144" s="28"/>
      <c r="R144" s="27">
        <f t="shared" si="221"/>
        <v>0</v>
      </c>
      <c r="S144" s="28">
        <f>367.5-367.5</f>
        <v>0</v>
      </c>
      <c r="T144" s="28"/>
      <c r="U144" s="28"/>
      <c r="V144" s="63" t="e">
        <f t="shared" si="197"/>
        <v>#DIV/0!</v>
      </c>
    </row>
    <row r="145" spans="1:101" ht="58.5" customHeight="1">
      <c r="A145" s="39"/>
      <c r="B145" s="41" t="s">
        <v>253</v>
      </c>
      <c r="C145" s="36" t="s">
        <v>306</v>
      </c>
      <c r="D145" s="36" t="s">
        <v>88</v>
      </c>
      <c r="E145" s="35" t="s">
        <v>159</v>
      </c>
      <c r="F145" s="28">
        <f t="shared" si="193"/>
        <v>780000</v>
      </c>
      <c r="G145" s="28">
        <f>1074050.1-567050.1</f>
        <v>507000</v>
      </c>
      <c r="H145" s="28"/>
      <c r="I145" s="28">
        <v>273000</v>
      </c>
      <c r="J145" s="28">
        <f t="shared" si="213"/>
        <v>335714</v>
      </c>
      <c r="K145" s="28">
        <v>197000</v>
      </c>
      <c r="L145" s="28"/>
      <c r="M145" s="28">
        <v>138714</v>
      </c>
      <c r="N145" s="27">
        <f t="shared" si="220"/>
        <v>157015</v>
      </c>
      <c r="O145" s="28">
        <v>94015</v>
      </c>
      <c r="P145" s="28"/>
      <c r="Q145" s="28">
        <v>63000</v>
      </c>
      <c r="R145" s="27">
        <f t="shared" si="221"/>
        <v>157015</v>
      </c>
      <c r="S145" s="28">
        <v>94015</v>
      </c>
      <c r="T145" s="28"/>
      <c r="U145" s="28">
        <v>63000</v>
      </c>
      <c r="V145" s="63">
        <f t="shared" si="197"/>
        <v>0.43</v>
      </c>
    </row>
    <row r="146" spans="1:101" ht="74.25" customHeight="1">
      <c r="A146" s="39"/>
      <c r="B146" s="41" t="s">
        <v>303</v>
      </c>
      <c r="C146" s="36" t="s">
        <v>306</v>
      </c>
      <c r="D146" s="36" t="s">
        <v>88</v>
      </c>
      <c r="E146" s="35" t="s">
        <v>305</v>
      </c>
      <c r="F146" s="28">
        <f t="shared" si="193"/>
        <v>4194770</v>
      </c>
      <c r="G146" s="33">
        <v>2896836.5</v>
      </c>
      <c r="H146" s="33">
        <v>1296784.3</v>
      </c>
      <c r="I146" s="33">
        <v>1149.2</v>
      </c>
      <c r="J146" s="28">
        <f t="shared" ref="J146:J147" si="222">K146+L146+M146</f>
        <v>1031049.1</v>
      </c>
      <c r="K146" s="33">
        <v>737145.5</v>
      </c>
      <c r="L146" s="33">
        <v>293883.40000000002</v>
      </c>
      <c r="M146" s="33">
        <v>20.2</v>
      </c>
      <c r="N146" s="27">
        <f t="shared" ref="N146:N147" si="223">O146+P146+Q146</f>
        <v>5240429.9000000004</v>
      </c>
      <c r="O146" s="33">
        <f>2766901.5-120777.55-50949.4</f>
        <v>2595174.6</v>
      </c>
      <c r="P146" s="33">
        <v>2645077.5</v>
      </c>
      <c r="Q146" s="33">
        <v>177.8</v>
      </c>
      <c r="R146" s="27">
        <f t="shared" si="221"/>
        <v>7702337.7999999998</v>
      </c>
      <c r="S146" s="33">
        <v>3832895.8</v>
      </c>
      <c r="T146" s="33">
        <v>3869442</v>
      </c>
      <c r="U146" s="33"/>
      <c r="V146" s="63">
        <f t="shared" si="197"/>
        <v>0.246</v>
      </c>
    </row>
    <row r="147" spans="1:101" ht="36.75" customHeight="1">
      <c r="A147" s="11" t="s">
        <v>180</v>
      </c>
      <c r="B147" s="25" t="s">
        <v>308</v>
      </c>
      <c r="C147" s="37" t="s">
        <v>12</v>
      </c>
      <c r="D147" s="37" t="s">
        <v>12</v>
      </c>
      <c r="E147" s="37" t="s">
        <v>12</v>
      </c>
      <c r="F147" s="27">
        <f t="shared" si="193"/>
        <v>238330.2</v>
      </c>
      <c r="G147" s="28">
        <f>SUM(G149:G150)</f>
        <v>102348.7</v>
      </c>
      <c r="H147" s="28">
        <f>SUM(H149:H150)</f>
        <v>135981.5</v>
      </c>
      <c r="I147" s="28">
        <f>SUM(I149:I150)</f>
        <v>0</v>
      </c>
      <c r="J147" s="27">
        <f t="shared" si="222"/>
        <v>14925</v>
      </c>
      <c r="K147" s="28">
        <f>SUM(K149:K150)</f>
        <v>14925</v>
      </c>
      <c r="L147" s="28">
        <f>SUM(L149:L150)</f>
        <v>0</v>
      </c>
      <c r="M147" s="28">
        <f>SUM(M149:M150)</f>
        <v>0</v>
      </c>
      <c r="N147" s="27">
        <f t="shared" si="223"/>
        <v>237414.8</v>
      </c>
      <c r="O147" s="28">
        <f>SUM(O149:O150)</f>
        <v>82000</v>
      </c>
      <c r="P147" s="28">
        <f>SUM(P149:P150)</f>
        <v>155414.79999999999</v>
      </c>
      <c r="Q147" s="28">
        <f>SUM(Q149:Q150)</f>
        <v>0</v>
      </c>
      <c r="R147" s="27">
        <f t="shared" ref="R147" si="224">S147+T147+U147</f>
        <v>205414.8</v>
      </c>
      <c r="S147" s="28">
        <f>SUM(S149:S150)</f>
        <v>50000</v>
      </c>
      <c r="T147" s="28">
        <f>SUM(T149:T150)</f>
        <v>155414.79999999999</v>
      </c>
      <c r="U147" s="28">
        <f>SUM(U149:U150)</f>
        <v>0</v>
      </c>
      <c r="V147" s="29">
        <f t="shared" si="197"/>
        <v>6.3E-2</v>
      </c>
    </row>
    <row r="148" spans="1:101" ht="18.75">
      <c r="A148" s="14"/>
      <c r="B148" s="31" t="s">
        <v>15</v>
      </c>
      <c r="C148" s="57"/>
      <c r="D148" s="57"/>
      <c r="E148" s="57"/>
      <c r="F148" s="28"/>
      <c r="G148" s="33"/>
      <c r="H148" s="33"/>
      <c r="I148" s="33"/>
      <c r="J148" s="28"/>
      <c r="K148" s="33"/>
      <c r="L148" s="33"/>
      <c r="M148" s="33"/>
      <c r="N148" s="27"/>
      <c r="O148" s="33"/>
      <c r="P148" s="33"/>
      <c r="Q148" s="33"/>
      <c r="R148" s="27"/>
      <c r="S148" s="33"/>
      <c r="T148" s="33"/>
      <c r="U148" s="33"/>
      <c r="V148" s="63"/>
    </row>
    <row r="149" spans="1:101" ht="57" customHeight="1">
      <c r="A149" s="39"/>
      <c r="B149" s="41" t="s">
        <v>253</v>
      </c>
      <c r="C149" s="35" t="s">
        <v>306</v>
      </c>
      <c r="D149" s="36" t="s">
        <v>88</v>
      </c>
      <c r="E149" s="35" t="s">
        <v>216</v>
      </c>
      <c r="F149" s="28">
        <f t="shared" si="193"/>
        <v>86925</v>
      </c>
      <c r="G149" s="33">
        <f>53750+48598.7-15423.7</f>
        <v>86925</v>
      </c>
      <c r="H149" s="33"/>
      <c r="I149" s="33"/>
      <c r="J149" s="28">
        <f t="shared" ref="J149:J151" si="225">K149+L149+M149</f>
        <v>14925</v>
      </c>
      <c r="K149" s="33">
        <v>14925</v>
      </c>
      <c r="L149" s="33"/>
      <c r="M149" s="33"/>
      <c r="N149" s="27">
        <f t="shared" ref="N149:N151" si="226">O149+P149+Q149</f>
        <v>82000</v>
      </c>
      <c r="O149" s="33">
        <f>42000+40000</f>
        <v>82000</v>
      </c>
      <c r="P149" s="33"/>
      <c r="Q149" s="33"/>
      <c r="R149" s="27">
        <f t="shared" ref="R149:R151" si="227">S149+T149+U149</f>
        <v>50000</v>
      </c>
      <c r="S149" s="33">
        <v>50000</v>
      </c>
      <c r="T149" s="33"/>
      <c r="U149" s="33"/>
      <c r="V149" s="63">
        <f t="shared" si="197"/>
        <v>0.17199999999999999</v>
      </c>
    </row>
    <row r="150" spans="1:101" ht="95.25" customHeight="1">
      <c r="A150" s="39"/>
      <c r="B150" s="41" t="s">
        <v>184</v>
      </c>
      <c r="C150" s="35" t="s">
        <v>306</v>
      </c>
      <c r="D150" s="36" t="s">
        <v>88</v>
      </c>
      <c r="E150" s="35" t="s">
        <v>183</v>
      </c>
      <c r="F150" s="28">
        <f t="shared" si="193"/>
        <v>151405.20000000001</v>
      </c>
      <c r="G150" s="33">
        <v>15423.7</v>
      </c>
      <c r="H150" s="33">
        <v>135981.5</v>
      </c>
      <c r="I150" s="33"/>
      <c r="J150" s="28">
        <f t="shared" si="225"/>
        <v>0</v>
      </c>
      <c r="K150" s="33"/>
      <c r="L150" s="33"/>
      <c r="M150" s="33"/>
      <c r="N150" s="27">
        <f t="shared" si="226"/>
        <v>155414.79999999999</v>
      </c>
      <c r="O150" s="33"/>
      <c r="P150" s="33">
        <v>155414.79999999999</v>
      </c>
      <c r="Q150" s="33"/>
      <c r="R150" s="27">
        <f t="shared" si="227"/>
        <v>155414.79999999999</v>
      </c>
      <c r="S150" s="33"/>
      <c r="T150" s="33">
        <v>155414.79999999999</v>
      </c>
      <c r="U150" s="33"/>
      <c r="V150" s="63">
        <f t="shared" si="197"/>
        <v>0</v>
      </c>
    </row>
    <row r="151" spans="1:101" s="8" customFormat="1" ht="38.25" customHeight="1">
      <c r="A151" s="24" t="s">
        <v>189</v>
      </c>
      <c r="B151" s="48" t="s">
        <v>309</v>
      </c>
      <c r="C151" s="26" t="s">
        <v>12</v>
      </c>
      <c r="D151" s="26" t="s">
        <v>12</v>
      </c>
      <c r="E151" s="26" t="s">
        <v>12</v>
      </c>
      <c r="F151" s="28">
        <f t="shared" si="193"/>
        <v>175528.2</v>
      </c>
      <c r="G151" s="28">
        <f>SUM(G153:G155)</f>
        <v>175528.2</v>
      </c>
      <c r="H151" s="28">
        <f>SUM(H153:H155)</f>
        <v>0</v>
      </c>
      <c r="I151" s="28">
        <f>SUM(I153:I155)</f>
        <v>0</v>
      </c>
      <c r="J151" s="28">
        <f t="shared" si="225"/>
        <v>99732.9</v>
      </c>
      <c r="K151" s="28">
        <f>SUM(K153:K155)</f>
        <v>99732.9</v>
      </c>
      <c r="L151" s="28">
        <f>SUM(L153:L155)</f>
        <v>0</v>
      </c>
      <c r="M151" s="28">
        <f>SUM(M153:M155)</f>
        <v>0</v>
      </c>
      <c r="N151" s="28">
        <f t="shared" si="226"/>
        <v>172195.5</v>
      </c>
      <c r="O151" s="28">
        <f>SUM(O153:O155)</f>
        <v>172195.5</v>
      </c>
      <c r="P151" s="28">
        <f>SUM(P153:P155)</f>
        <v>0</v>
      </c>
      <c r="Q151" s="28">
        <f>SUM(Q153:Q155)</f>
        <v>0</v>
      </c>
      <c r="R151" s="28">
        <f t="shared" si="227"/>
        <v>174380</v>
      </c>
      <c r="S151" s="28">
        <f>SUM(S153:S155)</f>
        <v>174380</v>
      </c>
      <c r="T151" s="28">
        <f>SUM(T153:T155)</f>
        <v>0</v>
      </c>
      <c r="U151" s="28">
        <f>SUM(U153:U155)</f>
        <v>0</v>
      </c>
      <c r="V151" s="38">
        <f t="shared" si="197"/>
        <v>0.56799999999999995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</row>
    <row r="152" spans="1:101" ht="22.5" customHeight="1">
      <c r="A152" s="14"/>
      <c r="B152" s="31" t="s">
        <v>15</v>
      </c>
      <c r="C152" s="57"/>
      <c r="D152" s="57"/>
      <c r="E152" s="57"/>
      <c r="F152" s="28"/>
      <c r="G152" s="28"/>
      <c r="H152" s="28"/>
      <c r="I152" s="28"/>
      <c r="J152" s="28"/>
      <c r="K152" s="28"/>
      <c r="L152" s="28"/>
      <c r="M152" s="28"/>
      <c r="N152" s="27"/>
      <c r="O152" s="28"/>
      <c r="P152" s="28"/>
      <c r="Q152" s="28"/>
      <c r="R152" s="27"/>
      <c r="S152" s="28"/>
      <c r="T152" s="28"/>
      <c r="U152" s="28"/>
      <c r="V152" s="38"/>
    </row>
    <row r="153" spans="1:101" ht="56.25" customHeight="1">
      <c r="A153" s="39"/>
      <c r="B153" s="41" t="s">
        <v>253</v>
      </c>
      <c r="C153" s="35" t="s">
        <v>280</v>
      </c>
      <c r="D153" s="36" t="s">
        <v>48</v>
      </c>
      <c r="E153" s="35" t="s">
        <v>179</v>
      </c>
      <c r="F153" s="28">
        <f t="shared" si="193"/>
        <v>3012.5</v>
      </c>
      <c r="G153" s="33">
        <v>3012.5</v>
      </c>
      <c r="H153" s="33"/>
      <c r="I153" s="33"/>
      <c r="J153" s="28">
        <f t="shared" ref="J153:J157" si="228">K153+L153+M153</f>
        <v>800.7</v>
      </c>
      <c r="K153" s="33">
        <v>800.7</v>
      </c>
      <c r="L153" s="33"/>
      <c r="M153" s="33"/>
      <c r="N153" s="27">
        <f t="shared" ref="N153:N157" si="229">O153+P153+Q153</f>
        <v>3012.5</v>
      </c>
      <c r="O153" s="33">
        <v>3012.5</v>
      </c>
      <c r="P153" s="33"/>
      <c r="Q153" s="33"/>
      <c r="R153" s="27">
        <f t="shared" ref="R153:R157" si="230">S153+T153+U153</f>
        <v>3012.5</v>
      </c>
      <c r="S153" s="33">
        <v>3012.5</v>
      </c>
      <c r="T153" s="33"/>
      <c r="U153" s="33"/>
      <c r="V153" s="63">
        <f t="shared" si="197"/>
        <v>0.26600000000000001</v>
      </c>
    </row>
    <row r="154" spans="1:101" ht="58.5" customHeight="1">
      <c r="A154" s="39"/>
      <c r="B154" s="41" t="s">
        <v>253</v>
      </c>
      <c r="C154" s="35">
        <v>811</v>
      </c>
      <c r="D154" s="36" t="s">
        <v>17</v>
      </c>
      <c r="E154" s="35" t="s">
        <v>179</v>
      </c>
      <c r="F154" s="28">
        <f t="shared" si="193"/>
        <v>367.5</v>
      </c>
      <c r="G154" s="33">
        <v>367.5</v>
      </c>
      <c r="H154" s="33"/>
      <c r="I154" s="33"/>
      <c r="J154" s="28">
        <f t="shared" si="228"/>
        <v>0</v>
      </c>
      <c r="K154" s="33"/>
      <c r="L154" s="33"/>
      <c r="M154" s="33"/>
      <c r="N154" s="27">
        <f t="shared" si="229"/>
        <v>367.5</v>
      </c>
      <c r="O154" s="33">
        <v>367.5</v>
      </c>
      <c r="P154" s="33"/>
      <c r="Q154" s="33"/>
      <c r="R154" s="27">
        <f t="shared" si="230"/>
        <v>367.5</v>
      </c>
      <c r="S154" s="33">
        <v>367.5</v>
      </c>
      <c r="T154" s="33"/>
      <c r="U154" s="33"/>
      <c r="V154" s="63">
        <f t="shared" si="197"/>
        <v>0</v>
      </c>
    </row>
    <row r="155" spans="1:101" ht="59.25" customHeight="1">
      <c r="A155" s="39"/>
      <c r="B155" s="41" t="s">
        <v>253</v>
      </c>
      <c r="C155" s="35" t="s">
        <v>306</v>
      </c>
      <c r="D155" s="36" t="s">
        <v>88</v>
      </c>
      <c r="E155" s="35" t="s">
        <v>179</v>
      </c>
      <c r="F155" s="28">
        <f t="shared" si="193"/>
        <v>172148.2</v>
      </c>
      <c r="G155" s="33">
        <v>172148.2</v>
      </c>
      <c r="H155" s="33"/>
      <c r="I155" s="33"/>
      <c r="J155" s="28">
        <f t="shared" si="228"/>
        <v>98932.2</v>
      </c>
      <c r="K155" s="33">
        <v>98932.2</v>
      </c>
      <c r="L155" s="33"/>
      <c r="M155" s="33"/>
      <c r="N155" s="27">
        <f t="shared" si="229"/>
        <v>168815.5</v>
      </c>
      <c r="O155" s="33">
        <v>168815.5</v>
      </c>
      <c r="P155" s="33"/>
      <c r="Q155" s="33"/>
      <c r="R155" s="27">
        <f t="shared" si="230"/>
        <v>171000</v>
      </c>
      <c r="S155" s="33">
        <v>171000</v>
      </c>
      <c r="T155" s="33"/>
      <c r="U155" s="33"/>
      <c r="V155" s="63">
        <f t="shared" si="197"/>
        <v>0.57499999999999996</v>
      </c>
    </row>
    <row r="156" spans="1:101" s="66" customFormat="1" ht="28.5" customHeight="1">
      <c r="A156" s="19" t="s">
        <v>89</v>
      </c>
      <c r="B156" s="20" t="s">
        <v>90</v>
      </c>
      <c r="C156" s="21" t="s">
        <v>12</v>
      </c>
      <c r="D156" s="21" t="s">
        <v>12</v>
      </c>
      <c r="E156" s="21" t="s">
        <v>12</v>
      </c>
      <c r="F156" s="45">
        <f>G156+H156+I156</f>
        <v>174768.9</v>
      </c>
      <c r="G156" s="45">
        <f>G157+G168+G173</f>
        <v>35053.199999999997</v>
      </c>
      <c r="H156" s="45">
        <f t="shared" ref="H156:I156" si="231">H157+H168+H173</f>
        <v>131251.6</v>
      </c>
      <c r="I156" s="45">
        <f t="shared" si="231"/>
        <v>8464.1</v>
      </c>
      <c r="J156" s="45">
        <f t="shared" si="228"/>
        <v>56294.8</v>
      </c>
      <c r="K156" s="45">
        <f>K157+K168+K173</f>
        <v>15831.4</v>
      </c>
      <c r="L156" s="45">
        <f t="shared" ref="L156:M156" si="232">L157+L168+L173</f>
        <v>35760.800000000003</v>
      </c>
      <c r="M156" s="45">
        <f t="shared" si="232"/>
        <v>4702.6000000000004</v>
      </c>
      <c r="N156" s="45">
        <f t="shared" si="229"/>
        <v>229885.4</v>
      </c>
      <c r="O156" s="45">
        <f>O157+O168+O173</f>
        <v>20814.2</v>
      </c>
      <c r="P156" s="45">
        <f t="shared" ref="P156:Q156" si="233">P157+P168+P173</f>
        <v>209029.5</v>
      </c>
      <c r="Q156" s="45">
        <f t="shared" si="233"/>
        <v>41.7</v>
      </c>
      <c r="R156" s="45">
        <f t="shared" si="230"/>
        <v>356103.3</v>
      </c>
      <c r="S156" s="45">
        <f>S157+S168+S173</f>
        <v>26726</v>
      </c>
      <c r="T156" s="45">
        <f t="shared" ref="T156:U156" si="234">T157+T168+T173</f>
        <v>329335.59999999998</v>
      </c>
      <c r="U156" s="45">
        <f t="shared" si="234"/>
        <v>41.7</v>
      </c>
      <c r="V156" s="46">
        <f t="shared" si="197"/>
        <v>0.32200000000000001</v>
      </c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</row>
    <row r="157" spans="1:101" ht="35.25" customHeight="1">
      <c r="A157" s="11" t="s">
        <v>91</v>
      </c>
      <c r="B157" s="25" t="s">
        <v>92</v>
      </c>
      <c r="C157" s="37" t="s">
        <v>12</v>
      </c>
      <c r="D157" s="37" t="s">
        <v>12</v>
      </c>
      <c r="E157" s="37" t="s">
        <v>12</v>
      </c>
      <c r="F157" s="28">
        <f t="shared" si="193"/>
        <v>153533</v>
      </c>
      <c r="G157" s="28">
        <f>SUM(G159:G167)</f>
        <v>20859</v>
      </c>
      <c r="H157" s="28">
        <f t="shared" ref="H157:I157" si="235">SUM(H159:H167)</f>
        <v>124251.6</v>
      </c>
      <c r="I157" s="28">
        <f t="shared" si="235"/>
        <v>8422.4</v>
      </c>
      <c r="J157" s="28">
        <f t="shared" si="228"/>
        <v>36101.1</v>
      </c>
      <c r="K157" s="28">
        <f>SUM(K159:K167)</f>
        <v>2637.7</v>
      </c>
      <c r="L157" s="28">
        <f t="shared" ref="L157" si="236">SUM(L159:L167)</f>
        <v>28760.799999999999</v>
      </c>
      <c r="M157" s="28">
        <f>SUM(M159:M167)</f>
        <v>4702.6000000000004</v>
      </c>
      <c r="N157" s="27">
        <f t="shared" si="229"/>
        <v>214349.5</v>
      </c>
      <c r="O157" s="28">
        <f>SUM(O159:O167)</f>
        <v>6620</v>
      </c>
      <c r="P157" s="28">
        <f t="shared" ref="P157:Q157" si="237">SUM(P159:P167)</f>
        <v>207729.5</v>
      </c>
      <c r="Q157" s="28">
        <f t="shared" si="237"/>
        <v>0</v>
      </c>
      <c r="R157" s="27">
        <f t="shared" si="230"/>
        <v>340567.4</v>
      </c>
      <c r="S157" s="28">
        <f>SUM(S159:S167)</f>
        <v>12531.8</v>
      </c>
      <c r="T157" s="28">
        <f t="shared" ref="T157:U157" si="238">SUM(T159:T167)</f>
        <v>328035.59999999998</v>
      </c>
      <c r="U157" s="28">
        <f t="shared" si="238"/>
        <v>0</v>
      </c>
      <c r="V157" s="38">
        <f t="shared" si="197"/>
        <v>0.23499999999999999</v>
      </c>
    </row>
    <row r="158" spans="1:101" ht="18.75">
      <c r="A158" s="14"/>
      <c r="B158" s="31" t="s">
        <v>15</v>
      </c>
      <c r="C158" s="57"/>
      <c r="D158" s="57"/>
      <c r="E158" s="57"/>
      <c r="F158" s="28"/>
      <c r="G158" s="28"/>
      <c r="H158" s="28"/>
      <c r="I158" s="28"/>
      <c r="J158" s="28"/>
      <c r="K158" s="28"/>
      <c r="L158" s="28"/>
      <c r="M158" s="28"/>
      <c r="N158" s="27"/>
      <c r="O158" s="28"/>
      <c r="P158" s="28"/>
      <c r="Q158" s="28"/>
      <c r="R158" s="27"/>
      <c r="S158" s="28"/>
      <c r="T158" s="28"/>
      <c r="U158" s="28"/>
      <c r="V158" s="38"/>
    </row>
    <row r="159" spans="1:101" ht="66">
      <c r="A159" s="39"/>
      <c r="B159" s="41" t="s">
        <v>225</v>
      </c>
      <c r="C159" s="36" t="s">
        <v>314</v>
      </c>
      <c r="D159" s="36" t="s">
        <v>93</v>
      </c>
      <c r="E159" s="35" t="s">
        <v>145</v>
      </c>
      <c r="F159" s="28">
        <f t="shared" si="193"/>
        <v>15966.4</v>
      </c>
      <c r="G159" s="28"/>
      <c r="H159" s="28">
        <v>10000</v>
      </c>
      <c r="I159" s="28">
        <v>5966.4</v>
      </c>
      <c r="J159" s="28">
        <f t="shared" ref="J159:J167" si="239">K159+L159+M159</f>
        <v>9789.2000000000007</v>
      </c>
      <c r="K159" s="28"/>
      <c r="L159" s="28">
        <v>5891.9</v>
      </c>
      <c r="M159" s="28">
        <v>3897.3</v>
      </c>
      <c r="N159" s="28">
        <f t="shared" ref="N159:N167" si="240">O159+P159+Q159</f>
        <v>0</v>
      </c>
      <c r="O159" s="28"/>
      <c r="P159" s="28">
        <v>0</v>
      </c>
      <c r="Q159" s="28"/>
      <c r="R159" s="28">
        <f t="shared" ref="R159:R167" si="241">S159+T159+U159</f>
        <v>0</v>
      </c>
      <c r="S159" s="28"/>
      <c r="T159" s="28">
        <v>0</v>
      </c>
      <c r="U159" s="28"/>
      <c r="V159" s="63">
        <f t="shared" si="197"/>
        <v>0.61299999999999999</v>
      </c>
    </row>
    <row r="160" spans="1:101" ht="36.75" customHeight="1">
      <c r="A160" s="39"/>
      <c r="B160" s="41" t="s">
        <v>147</v>
      </c>
      <c r="C160" s="35" t="s">
        <v>273</v>
      </c>
      <c r="D160" s="36" t="s">
        <v>146</v>
      </c>
      <c r="E160" s="35" t="s">
        <v>148</v>
      </c>
      <c r="F160" s="28">
        <f t="shared" si="193"/>
        <v>0</v>
      </c>
      <c r="G160" s="33">
        <v>0</v>
      </c>
      <c r="H160" s="33">
        <v>0</v>
      </c>
      <c r="I160" s="33"/>
      <c r="J160" s="28">
        <f t="shared" si="239"/>
        <v>0</v>
      </c>
      <c r="K160" s="33"/>
      <c r="L160" s="33"/>
      <c r="M160" s="33"/>
      <c r="N160" s="28">
        <f t="shared" si="240"/>
        <v>185886.1</v>
      </c>
      <c r="O160" s="33">
        <v>5576.6</v>
      </c>
      <c r="P160" s="33">
        <v>180309.5</v>
      </c>
      <c r="Q160" s="33"/>
      <c r="R160" s="28">
        <f t="shared" si="241"/>
        <v>307054.2</v>
      </c>
      <c r="S160" s="33">
        <v>9211.6</v>
      </c>
      <c r="T160" s="33">
        <v>297842.59999999998</v>
      </c>
      <c r="U160" s="33"/>
      <c r="V160" s="63"/>
    </row>
    <row r="161" spans="1:101" ht="44.25" customHeight="1">
      <c r="A161" s="39"/>
      <c r="B161" s="41" t="s">
        <v>310</v>
      </c>
      <c r="C161" s="35" t="s">
        <v>258</v>
      </c>
      <c r="D161" s="36" t="s">
        <v>19</v>
      </c>
      <c r="E161" s="35" t="s">
        <v>312</v>
      </c>
      <c r="F161" s="28">
        <f t="shared" si="193"/>
        <v>36283.199999999997</v>
      </c>
      <c r="G161" s="33">
        <v>4481</v>
      </c>
      <c r="H161" s="33">
        <v>29988</v>
      </c>
      <c r="I161" s="33">
        <v>1814.2</v>
      </c>
      <c r="J161" s="28">
        <f t="shared" si="239"/>
        <v>9853.4</v>
      </c>
      <c r="K161" s="33">
        <v>1216.9000000000001</v>
      </c>
      <c r="L161" s="33">
        <v>8143.8</v>
      </c>
      <c r="M161" s="33">
        <v>492.7</v>
      </c>
      <c r="N161" s="28">
        <f t="shared" si="240"/>
        <v>0</v>
      </c>
      <c r="O161" s="33">
        <v>0</v>
      </c>
      <c r="P161" s="33">
        <v>0</v>
      </c>
      <c r="Q161" s="33"/>
      <c r="R161" s="28">
        <f t="shared" si="241"/>
        <v>12782.2</v>
      </c>
      <c r="S161" s="33">
        <v>1661.7</v>
      </c>
      <c r="T161" s="33">
        <v>11120.5</v>
      </c>
      <c r="U161" s="33"/>
      <c r="V161" s="63">
        <f t="shared" si="197"/>
        <v>0.27200000000000002</v>
      </c>
    </row>
    <row r="162" spans="1:101" ht="33.75" customHeight="1">
      <c r="A162" s="39"/>
      <c r="B162" s="41" t="s">
        <v>149</v>
      </c>
      <c r="C162" s="35" t="s">
        <v>258</v>
      </c>
      <c r="D162" s="36" t="s">
        <v>19</v>
      </c>
      <c r="E162" s="35" t="s">
        <v>150</v>
      </c>
      <c r="F162" s="28">
        <f t="shared" ref="F162" si="242">G162+H162+I162</f>
        <v>72584.800000000003</v>
      </c>
      <c r="G162" s="33">
        <v>9436</v>
      </c>
      <c r="H162" s="33">
        <v>63148.800000000003</v>
      </c>
      <c r="I162" s="33"/>
      <c r="J162" s="28">
        <f t="shared" ref="J162" si="243">K162+L162+M162</f>
        <v>1385.1</v>
      </c>
      <c r="K162" s="33">
        <v>180.1</v>
      </c>
      <c r="L162" s="33">
        <v>1205</v>
      </c>
      <c r="M162" s="33"/>
      <c r="N162" s="28">
        <f t="shared" ref="N162" si="244">O162+P162+Q162</f>
        <v>0</v>
      </c>
      <c r="O162" s="33">
        <v>0</v>
      </c>
      <c r="P162" s="33">
        <v>0</v>
      </c>
      <c r="Q162" s="33"/>
      <c r="R162" s="28">
        <f t="shared" ref="R162" si="245">S162+T162+U162</f>
        <v>0</v>
      </c>
      <c r="S162" s="33">
        <v>0</v>
      </c>
      <c r="T162" s="33">
        <v>0</v>
      </c>
      <c r="U162" s="33"/>
      <c r="V162" s="63">
        <f t="shared" si="197"/>
        <v>1.9E-2</v>
      </c>
    </row>
    <row r="163" spans="1:101" ht="52.5" customHeight="1">
      <c r="A163" s="39"/>
      <c r="B163" s="41" t="s">
        <v>207</v>
      </c>
      <c r="C163" s="35" t="s">
        <v>314</v>
      </c>
      <c r="D163" s="36" t="s">
        <v>93</v>
      </c>
      <c r="E163" s="35" t="s">
        <v>206</v>
      </c>
      <c r="F163" s="28">
        <f t="shared" si="193"/>
        <v>23592.7</v>
      </c>
      <c r="G163" s="33">
        <v>1836.1</v>
      </c>
      <c r="H163" s="33">
        <v>21114.799999999999</v>
      </c>
      <c r="I163" s="33">
        <v>641.79999999999995</v>
      </c>
      <c r="J163" s="28">
        <f t="shared" si="239"/>
        <v>15008.4</v>
      </c>
      <c r="K163" s="33">
        <v>1175.7</v>
      </c>
      <c r="L163" s="33">
        <v>13520.1</v>
      </c>
      <c r="M163" s="33">
        <v>312.60000000000002</v>
      </c>
      <c r="N163" s="28">
        <f t="shared" si="240"/>
        <v>0</v>
      </c>
      <c r="O163" s="33">
        <v>0</v>
      </c>
      <c r="P163" s="33">
        <v>0</v>
      </c>
      <c r="Q163" s="33"/>
      <c r="R163" s="28">
        <f t="shared" si="241"/>
        <v>20731</v>
      </c>
      <c r="S163" s="33">
        <v>1658.5</v>
      </c>
      <c r="T163" s="33">
        <v>19072.5</v>
      </c>
      <c r="U163" s="33"/>
      <c r="V163" s="63">
        <f t="shared" si="197"/>
        <v>0.63600000000000001</v>
      </c>
    </row>
    <row r="164" spans="1:101" ht="52.5" customHeight="1">
      <c r="A164" s="39"/>
      <c r="B164" s="41" t="s">
        <v>209</v>
      </c>
      <c r="C164" s="35" t="s">
        <v>314</v>
      </c>
      <c r="D164" s="36" t="s">
        <v>93</v>
      </c>
      <c r="E164" s="35" t="s">
        <v>208</v>
      </c>
      <c r="F164" s="28">
        <f t="shared" ref="F164:F165" si="246">G164+H164+I164</f>
        <v>0</v>
      </c>
      <c r="G164" s="33">
        <v>0</v>
      </c>
      <c r="H164" s="33">
        <v>0</v>
      </c>
      <c r="I164" s="33"/>
      <c r="J164" s="28">
        <f t="shared" ref="J164:J165" si="247">K164+L164+M164</f>
        <v>0</v>
      </c>
      <c r="K164" s="33"/>
      <c r="L164" s="33"/>
      <c r="M164" s="33"/>
      <c r="N164" s="28">
        <f t="shared" ref="N164:N165" si="248">O164+P164+Q164</f>
        <v>18989.7</v>
      </c>
      <c r="O164" s="33">
        <v>569.70000000000005</v>
      </c>
      <c r="P164" s="33">
        <v>18420</v>
      </c>
      <c r="Q164" s="33"/>
      <c r="R164" s="28">
        <f t="shared" ref="R164:R165" si="249">S164+T164+U164</f>
        <v>0</v>
      </c>
      <c r="S164" s="33">
        <v>0</v>
      </c>
      <c r="T164" s="33">
        <v>0</v>
      </c>
      <c r="U164" s="33"/>
      <c r="V164" s="63" t="e">
        <f t="shared" si="197"/>
        <v>#DIV/0!</v>
      </c>
    </row>
    <row r="165" spans="1:101" ht="52.5" customHeight="1">
      <c r="A165" s="39"/>
      <c r="B165" s="41" t="s">
        <v>361</v>
      </c>
      <c r="C165" s="35">
        <v>821</v>
      </c>
      <c r="D165" s="36" t="s">
        <v>19</v>
      </c>
      <c r="E165" s="35" t="s">
        <v>362</v>
      </c>
      <c r="F165" s="28">
        <f t="shared" si="246"/>
        <v>105.9</v>
      </c>
      <c r="G165" s="33">
        <v>105.9</v>
      </c>
      <c r="H165" s="33"/>
      <c r="I165" s="33"/>
      <c r="J165" s="28">
        <f t="shared" si="247"/>
        <v>0</v>
      </c>
      <c r="K165" s="33"/>
      <c r="L165" s="33"/>
      <c r="M165" s="33"/>
      <c r="N165" s="28">
        <f t="shared" si="248"/>
        <v>0</v>
      </c>
      <c r="O165" s="33"/>
      <c r="P165" s="33"/>
      <c r="Q165" s="33"/>
      <c r="R165" s="28">
        <f t="shared" si="249"/>
        <v>0</v>
      </c>
      <c r="S165" s="33"/>
      <c r="T165" s="33"/>
      <c r="U165" s="33"/>
      <c r="V165" s="63">
        <f t="shared" si="197"/>
        <v>0</v>
      </c>
    </row>
    <row r="166" spans="1:101" ht="40.5" customHeight="1">
      <c r="A166" s="39"/>
      <c r="B166" s="41" t="s">
        <v>311</v>
      </c>
      <c r="C166" s="35" t="s">
        <v>314</v>
      </c>
      <c r="D166" s="36" t="s">
        <v>93</v>
      </c>
      <c r="E166" s="35" t="s">
        <v>313</v>
      </c>
      <c r="F166" s="28">
        <f t="shared" si="193"/>
        <v>0</v>
      </c>
      <c r="G166" s="33">
        <v>0</v>
      </c>
      <c r="H166" s="33">
        <v>0</v>
      </c>
      <c r="I166" s="33"/>
      <c r="J166" s="28">
        <f t="shared" si="239"/>
        <v>0</v>
      </c>
      <c r="K166" s="33"/>
      <c r="L166" s="33"/>
      <c r="M166" s="33"/>
      <c r="N166" s="28">
        <f t="shared" si="240"/>
        <v>9473.7000000000007</v>
      </c>
      <c r="O166" s="33">
        <v>473.7</v>
      </c>
      <c r="P166" s="33">
        <v>9000</v>
      </c>
      <c r="Q166" s="33"/>
      <c r="R166" s="28">
        <f t="shared" si="241"/>
        <v>0</v>
      </c>
      <c r="S166" s="33">
        <v>0</v>
      </c>
      <c r="T166" s="33">
        <v>0</v>
      </c>
      <c r="U166" s="33"/>
      <c r="V166" s="63" t="e">
        <f t="shared" si="197"/>
        <v>#DIV/0!</v>
      </c>
    </row>
    <row r="167" spans="1:101" ht="40.5" customHeight="1">
      <c r="A167" s="39"/>
      <c r="B167" s="41" t="s">
        <v>363</v>
      </c>
      <c r="C167" s="35">
        <v>814</v>
      </c>
      <c r="D167" s="93" t="s">
        <v>93</v>
      </c>
      <c r="E167" s="35" t="s">
        <v>364</v>
      </c>
      <c r="F167" s="28">
        <f t="shared" si="193"/>
        <v>5000</v>
      </c>
      <c r="G167" s="33">
        <v>5000</v>
      </c>
      <c r="H167" s="33"/>
      <c r="I167" s="33"/>
      <c r="J167" s="28">
        <f t="shared" si="239"/>
        <v>65</v>
      </c>
      <c r="K167" s="33">
        <v>65</v>
      </c>
      <c r="L167" s="33"/>
      <c r="M167" s="33"/>
      <c r="N167" s="28">
        <f t="shared" si="240"/>
        <v>0</v>
      </c>
      <c r="O167" s="33"/>
      <c r="P167" s="33"/>
      <c r="Q167" s="33"/>
      <c r="R167" s="28">
        <f t="shared" si="241"/>
        <v>0</v>
      </c>
      <c r="S167" s="33"/>
      <c r="T167" s="33"/>
      <c r="U167" s="33"/>
      <c r="V167" s="63">
        <f t="shared" si="197"/>
        <v>1.2999999999999999E-2</v>
      </c>
    </row>
    <row r="168" spans="1:101" ht="18.75">
      <c r="A168" s="24" t="s">
        <v>94</v>
      </c>
      <c r="B168" s="48" t="s">
        <v>95</v>
      </c>
      <c r="C168" s="62" t="s">
        <v>12</v>
      </c>
      <c r="D168" s="62" t="s">
        <v>12</v>
      </c>
      <c r="E168" s="62" t="s">
        <v>12</v>
      </c>
      <c r="F168" s="28">
        <f t="shared" si="193"/>
        <v>15535.9</v>
      </c>
      <c r="G168" s="28">
        <f>SUM(G170:G172)</f>
        <v>14194.2</v>
      </c>
      <c r="H168" s="28">
        <f>SUM(H170:H172)</f>
        <v>1300</v>
      </c>
      <c r="I168" s="28">
        <f>SUM(I170:I172)</f>
        <v>41.7</v>
      </c>
      <c r="J168" s="28">
        <f t="shared" ref="J168" si="250">K168+L168+M168</f>
        <v>14493.7</v>
      </c>
      <c r="K168" s="28">
        <f>SUM(K170:K172)</f>
        <v>13193.7</v>
      </c>
      <c r="L168" s="28">
        <f>SUM(L170:L172)</f>
        <v>1300</v>
      </c>
      <c r="M168" s="28">
        <f>SUM(M170:M172)</f>
        <v>0</v>
      </c>
      <c r="N168" s="28">
        <f t="shared" ref="N168" si="251">O168+P168+Q168</f>
        <v>15535.9</v>
      </c>
      <c r="O168" s="28">
        <f>SUM(O170:O172)</f>
        <v>14194.2</v>
      </c>
      <c r="P168" s="28">
        <f>SUM(P170:P172)</f>
        <v>1300</v>
      </c>
      <c r="Q168" s="28">
        <f>SUM(Q170:Q172)</f>
        <v>41.7</v>
      </c>
      <c r="R168" s="28">
        <f t="shared" ref="R168" si="252">S168+T168+U168</f>
        <v>15535.9</v>
      </c>
      <c r="S168" s="28">
        <f>SUM(S170:S172)</f>
        <v>14194.2</v>
      </c>
      <c r="T168" s="28">
        <f>SUM(T170:T172)</f>
        <v>1300</v>
      </c>
      <c r="U168" s="28">
        <f>SUM(U170:U172)</f>
        <v>41.7</v>
      </c>
      <c r="V168" s="38">
        <f t="shared" si="197"/>
        <v>0.93300000000000005</v>
      </c>
    </row>
    <row r="169" spans="1:101" ht="18.75">
      <c r="A169" s="39"/>
      <c r="B169" s="61" t="s">
        <v>15</v>
      </c>
      <c r="C169" s="32"/>
      <c r="D169" s="42"/>
      <c r="E169" s="32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38"/>
    </row>
    <row r="170" spans="1:101" ht="33">
      <c r="A170" s="39"/>
      <c r="B170" s="41" t="s">
        <v>96</v>
      </c>
      <c r="C170" s="35" t="s">
        <v>314</v>
      </c>
      <c r="D170" s="36" t="s">
        <v>93</v>
      </c>
      <c r="E170" s="35" t="s">
        <v>170</v>
      </c>
      <c r="F170" s="28">
        <f t="shared" si="193"/>
        <v>13000</v>
      </c>
      <c r="G170" s="33">
        <v>13000</v>
      </c>
      <c r="H170" s="33"/>
      <c r="I170" s="33"/>
      <c r="J170" s="28">
        <f>K170+L170+M170</f>
        <v>12999.5</v>
      </c>
      <c r="K170" s="33">
        <v>12999.5</v>
      </c>
      <c r="L170" s="33"/>
      <c r="M170" s="33"/>
      <c r="N170" s="28">
        <f t="shared" ref="N170:N177" si="253">O170+P170+Q170</f>
        <v>13000</v>
      </c>
      <c r="O170" s="33">
        <v>13000</v>
      </c>
      <c r="P170" s="33"/>
      <c r="Q170" s="33"/>
      <c r="R170" s="28">
        <f>S170+T170+U170</f>
        <v>13000</v>
      </c>
      <c r="S170" s="33">
        <v>13000</v>
      </c>
      <c r="T170" s="33"/>
      <c r="U170" s="33"/>
      <c r="V170" s="63">
        <f t="shared" si="197"/>
        <v>1</v>
      </c>
    </row>
    <row r="171" spans="1:101" ht="55.5" customHeight="1">
      <c r="A171" s="39"/>
      <c r="B171" s="41" t="s">
        <v>211</v>
      </c>
      <c r="C171" s="35" t="s">
        <v>314</v>
      </c>
      <c r="D171" s="36" t="s">
        <v>93</v>
      </c>
      <c r="E171" s="35" t="s">
        <v>210</v>
      </c>
      <c r="F171" s="28">
        <f t="shared" si="193"/>
        <v>1494.2</v>
      </c>
      <c r="G171" s="33">
        <v>194.2</v>
      </c>
      <c r="H171" s="33">
        <v>1300</v>
      </c>
      <c r="I171" s="33"/>
      <c r="J171" s="28">
        <f>K171+L171+M171</f>
        <v>1494.2</v>
      </c>
      <c r="K171" s="33">
        <v>194.2</v>
      </c>
      <c r="L171" s="33">
        <v>1300</v>
      </c>
      <c r="M171" s="33"/>
      <c r="N171" s="28">
        <f t="shared" si="253"/>
        <v>1494.2</v>
      </c>
      <c r="O171" s="33">
        <v>194.2</v>
      </c>
      <c r="P171" s="33">
        <v>1300</v>
      </c>
      <c r="Q171" s="33"/>
      <c r="R171" s="28">
        <f>S171+T171+U171</f>
        <v>1494.2</v>
      </c>
      <c r="S171" s="33">
        <v>194.2</v>
      </c>
      <c r="T171" s="33">
        <v>1300</v>
      </c>
      <c r="U171" s="33"/>
      <c r="V171" s="63">
        <f t="shared" si="197"/>
        <v>1</v>
      </c>
    </row>
    <row r="172" spans="1:101" ht="75.75" customHeight="1">
      <c r="A172" s="39"/>
      <c r="B172" s="41" t="s">
        <v>172</v>
      </c>
      <c r="C172" s="35" t="s">
        <v>314</v>
      </c>
      <c r="D172" s="36" t="s">
        <v>93</v>
      </c>
      <c r="E172" s="35" t="s">
        <v>171</v>
      </c>
      <c r="F172" s="28">
        <f t="shared" si="193"/>
        <v>1041.7</v>
      </c>
      <c r="G172" s="33">
        <v>1000</v>
      </c>
      <c r="H172" s="33"/>
      <c r="I172" s="33">
        <v>41.7</v>
      </c>
      <c r="J172" s="28">
        <f>K172+L172+M172</f>
        <v>0</v>
      </c>
      <c r="K172" s="33"/>
      <c r="L172" s="33"/>
      <c r="M172" s="33"/>
      <c r="N172" s="28">
        <f t="shared" si="253"/>
        <v>1041.7</v>
      </c>
      <c r="O172" s="33">
        <v>1000</v>
      </c>
      <c r="P172" s="33"/>
      <c r="Q172" s="33">
        <v>41.7</v>
      </c>
      <c r="R172" s="28">
        <f>S172+T172+U172</f>
        <v>1041.7</v>
      </c>
      <c r="S172" s="33">
        <v>1000</v>
      </c>
      <c r="T172" s="33"/>
      <c r="U172" s="33">
        <v>41.7</v>
      </c>
      <c r="V172" s="63">
        <f t="shared" si="197"/>
        <v>0</v>
      </c>
    </row>
    <row r="173" spans="1:101" ht="30" customHeight="1">
      <c r="A173" s="24" t="s">
        <v>193</v>
      </c>
      <c r="B173" s="48" t="s">
        <v>335</v>
      </c>
      <c r="C173" s="62" t="s">
        <v>12</v>
      </c>
      <c r="D173" s="62" t="s">
        <v>12</v>
      </c>
      <c r="E173" s="62" t="s">
        <v>12</v>
      </c>
      <c r="F173" s="28">
        <f t="shared" ref="F173" si="254">G173+H173+I173</f>
        <v>5700</v>
      </c>
      <c r="G173" s="28">
        <f>SUM(G175)</f>
        <v>0</v>
      </c>
      <c r="H173" s="28">
        <f t="shared" ref="H173:I173" si="255">SUM(H175)</f>
        <v>5700</v>
      </c>
      <c r="I173" s="28">
        <f t="shared" si="255"/>
        <v>0</v>
      </c>
      <c r="J173" s="28">
        <f t="shared" ref="J173" si="256">K173+L173+M173</f>
        <v>5700</v>
      </c>
      <c r="K173" s="28">
        <f>SUM(K175)</f>
        <v>0</v>
      </c>
      <c r="L173" s="28">
        <f t="shared" ref="L173:M173" si="257">SUM(L175)</f>
        <v>5700</v>
      </c>
      <c r="M173" s="28">
        <f t="shared" si="257"/>
        <v>0</v>
      </c>
      <c r="N173" s="28">
        <f t="shared" si="253"/>
        <v>0</v>
      </c>
      <c r="O173" s="28">
        <f>SUM(O175)</f>
        <v>0</v>
      </c>
      <c r="P173" s="28">
        <f t="shared" ref="P173:Q173" si="258">SUM(P175)</f>
        <v>0</v>
      </c>
      <c r="Q173" s="28">
        <f t="shared" si="258"/>
        <v>0</v>
      </c>
      <c r="R173" s="28">
        <f>S173+T173+U173</f>
        <v>0</v>
      </c>
      <c r="S173" s="28">
        <f>SUM(S175)</f>
        <v>0</v>
      </c>
      <c r="T173" s="28">
        <f t="shared" ref="T173:U173" si="259">SUM(T175)</f>
        <v>0</v>
      </c>
      <c r="U173" s="28">
        <f t="shared" si="259"/>
        <v>0</v>
      </c>
      <c r="V173" s="38">
        <f t="shared" ref="V173" si="260">J173/F173</f>
        <v>1</v>
      </c>
    </row>
    <row r="174" spans="1:101" ht="23.25" customHeight="1">
      <c r="A174" s="39"/>
      <c r="B174" s="61" t="s">
        <v>15</v>
      </c>
      <c r="C174" s="32"/>
      <c r="D174" s="42"/>
      <c r="E174" s="32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38"/>
    </row>
    <row r="175" spans="1:101" ht="60" customHeight="1">
      <c r="A175" s="39"/>
      <c r="B175" s="41" t="s">
        <v>242</v>
      </c>
      <c r="C175" s="35" t="s">
        <v>314</v>
      </c>
      <c r="D175" s="36" t="s">
        <v>93</v>
      </c>
      <c r="E175" s="35" t="s">
        <v>151</v>
      </c>
      <c r="F175" s="28">
        <f t="shared" ref="F175" si="261">G175+H175+I175</f>
        <v>5700</v>
      </c>
      <c r="G175" s="33"/>
      <c r="H175" s="33">
        <v>5700</v>
      </c>
      <c r="I175" s="33"/>
      <c r="J175" s="28">
        <f>K175+L175+M175</f>
        <v>5700</v>
      </c>
      <c r="K175" s="33"/>
      <c r="L175" s="33">
        <v>5700</v>
      </c>
      <c r="M175" s="33"/>
      <c r="N175" s="28">
        <f t="shared" ref="N175" si="262">O175+P175+Q175</f>
        <v>0</v>
      </c>
      <c r="O175" s="33"/>
      <c r="P175" s="33"/>
      <c r="Q175" s="33"/>
      <c r="R175" s="28">
        <f>S175+T175+U175</f>
        <v>0</v>
      </c>
      <c r="S175" s="33"/>
      <c r="T175" s="33"/>
      <c r="U175" s="33"/>
      <c r="V175" s="63">
        <f t="shared" ref="V175" si="263">J175/F175</f>
        <v>1</v>
      </c>
    </row>
    <row r="176" spans="1:101" s="66" customFormat="1" ht="78.75" customHeight="1">
      <c r="A176" s="19" t="s">
        <v>97</v>
      </c>
      <c r="B176" s="60" t="s">
        <v>98</v>
      </c>
      <c r="C176" s="21" t="s">
        <v>12</v>
      </c>
      <c r="D176" s="21" t="s">
        <v>12</v>
      </c>
      <c r="E176" s="21" t="s">
        <v>12</v>
      </c>
      <c r="F176" s="45">
        <f>G176+H176+I176</f>
        <v>197297.6</v>
      </c>
      <c r="G176" s="45">
        <f>G177+G180+G184</f>
        <v>6908.8</v>
      </c>
      <c r="H176" s="45">
        <f>H177+H180+H184</f>
        <v>190388.8</v>
      </c>
      <c r="I176" s="45">
        <f>I177+I180+I184</f>
        <v>0</v>
      </c>
      <c r="J176" s="45">
        <f>K176+L176+M176</f>
        <v>123685.5</v>
      </c>
      <c r="K176" s="45">
        <f>K177+K180+K184</f>
        <v>4700.5</v>
      </c>
      <c r="L176" s="45">
        <f>L177+L180+L184</f>
        <v>118985</v>
      </c>
      <c r="M176" s="45">
        <f>M177+M180+M184</f>
        <v>0</v>
      </c>
      <c r="N176" s="45">
        <f>O176+P176+Q176</f>
        <v>268189.09999999998</v>
      </c>
      <c r="O176" s="45">
        <f>O177+O180+O184</f>
        <v>9035.5</v>
      </c>
      <c r="P176" s="45">
        <f>P177+P180+P184</f>
        <v>259153.6</v>
      </c>
      <c r="Q176" s="45">
        <f>Q177+Q180+Q184</f>
        <v>0</v>
      </c>
      <c r="R176" s="45">
        <f t="shared" ref="R176:R177" si="264">S176+T176+U176</f>
        <v>237776.4</v>
      </c>
      <c r="S176" s="45">
        <f>S177+S180+S184</f>
        <v>8123.3</v>
      </c>
      <c r="T176" s="45">
        <f>T177+T180+T184</f>
        <v>229653.1</v>
      </c>
      <c r="U176" s="45">
        <f>U177+U180+U184</f>
        <v>0</v>
      </c>
      <c r="V176" s="46">
        <f t="shared" ref="V176:V202" si="265">J176/F176</f>
        <v>0.627</v>
      </c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</row>
    <row r="177" spans="1:24" ht="56.25" customHeight="1">
      <c r="A177" s="11" t="s">
        <v>99</v>
      </c>
      <c r="B177" s="25" t="s">
        <v>315</v>
      </c>
      <c r="C177" s="37" t="s">
        <v>12</v>
      </c>
      <c r="D177" s="37" t="s">
        <v>12</v>
      </c>
      <c r="E177" s="37" t="s">
        <v>12</v>
      </c>
      <c r="F177" s="27">
        <f t="shared" ref="F177:F203" si="266">G177+H177+I177</f>
        <v>8567</v>
      </c>
      <c r="G177" s="28">
        <f>SUM(G179:G179)</f>
        <v>257</v>
      </c>
      <c r="H177" s="28">
        <f>SUM(H179:H179)</f>
        <v>8310</v>
      </c>
      <c r="I177" s="28">
        <f>SUM(I179:I179)</f>
        <v>0</v>
      </c>
      <c r="J177" s="27">
        <f t="shared" ref="J177" si="267">K177+L177+M177</f>
        <v>8567</v>
      </c>
      <c r="K177" s="28">
        <f>SUM(K179:K179)</f>
        <v>257</v>
      </c>
      <c r="L177" s="28">
        <f>SUM(L179:L179)</f>
        <v>8310</v>
      </c>
      <c r="M177" s="28">
        <f>SUM(M179:M179)</f>
        <v>0</v>
      </c>
      <c r="N177" s="27">
        <f t="shared" si="253"/>
        <v>10593.5</v>
      </c>
      <c r="O177" s="28">
        <f>SUM(O179:O179)</f>
        <v>317.8</v>
      </c>
      <c r="P177" s="28">
        <f>SUM(P179:P179)</f>
        <v>10275.700000000001</v>
      </c>
      <c r="Q177" s="28">
        <f>SUM(Q179:Q179)</f>
        <v>0</v>
      </c>
      <c r="R177" s="27">
        <f t="shared" si="264"/>
        <v>11765.4</v>
      </c>
      <c r="S177" s="28">
        <f>SUM(S179:S179)</f>
        <v>353</v>
      </c>
      <c r="T177" s="28">
        <f>SUM(T179:T179)</f>
        <v>11412.4</v>
      </c>
      <c r="U177" s="28">
        <f>SUM(U179:U179)</f>
        <v>0</v>
      </c>
      <c r="V177" s="29">
        <f t="shared" si="265"/>
        <v>1</v>
      </c>
    </row>
    <row r="178" spans="1:24" ht="18.75">
      <c r="A178" s="14"/>
      <c r="B178" s="65" t="s">
        <v>15</v>
      </c>
      <c r="C178" s="57"/>
      <c r="D178" s="57"/>
      <c r="E178" s="57"/>
      <c r="F178" s="28"/>
      <c r="G178" s="28"/>
      <c r="H178" s="28"/>
      <c r="I178" s="28"/>
      <c r="J178" s="28"/>
      <c r="K178" s="28"/>
      <c r="L178" s="28"/>
      <c r="M178" s="28"/>
      <c r="N178" s="27"/>
      <c r="O178" s="28"/>
      <c r="P178" s="28"/>
      <c r="Q178" s="28"/>
      <c r="R178" s="27"/>
      <c r="S178" s="28"/>
      <c r="T178" s="28"/>
      <c r="U178" s="28"/>
      <c r="V178" s="38"/>
    </row>
    <row r="179" spans="1:24" ht="89.25" customHeight="1">
      <c r="A179" s="49"/>
      <c r="B179" s="96" t="s">
        <v>340</v>
      </c>
      <c r="C179" s="51" t="s">
        <v>317</v>
      </c>
      <c r="D179" s="52" t="s">
        <v>64</v>
      </c>
      <c r="E179" s="51" t="s">
        <v>198</v>
      </c>
      <c r="F179" s="67">
        <f t="shared" si="266"/>
        <v>8567</v>
      </c>
      <c r="G179" s="53">
        <v>257.01</v>
      </c>
      <c r="H179" s="53">
        <v>8310</v>
      </c>
      <c r="I179" s="53"/>
      <c r="J179" s="67">
        <f t="shared" ref="J179:J180" si="268">K179+L179+M179</f>
        <v>8567</v>
      </c>
      <c r="K179" s="53">
        <v>257</v>
      </c>
      <c r="L179" s="53">
        <v>8310</v>
      </c>
      <c r="M179" s="53"/>
      <c r="N179" s="67">
        <f t="shared" ref="N179:N180" si="269">O179+P179+Q179</f>
        <v>10593.5</v>
      </c>
      <c r="O179" s="53">
        <v>317.8</v>
      </c>
      <c r="P179" s="53">
        <v>10275.700000000001</v>
      </c>
      <c r="Q179" s="53"/>
      <c r="R179" s="67">
        <f t="shared" ref="R179:R180" si="270">S179+T179+U179</f>
        <v>11765.4</v>
      </c>
      <c r="S179" s="53">
        <v>352.96</v>
      </c>
      <c r="T179" s="53">
        <v>11412.4</v>
      </c>
      <c r="U179" s="53"/>
      <c r="V179" s="68">
        <f t="shared" si="265"/>
        <v>1</v>
      </c>
    </row>
    <row r="180" spans="1:24" ht="44.25" customHeight="1">
      <c r="A180" s="24" t="s">
        <v>100</v>
      </c>
      <c r="B180" s="48" t="s">
        <v>316</v>
      </c>
      <c r="C180" s="26" t="s">
        <v>12</v>
      </c>
      <c r="D180" s="26" t="s">
        <v>12</v>
      </c>
      <c r="E180" s="26" t="s">
        <v>12</v>
      </c>
      <c r="F180" s="28">
        <f>G180+H180+I180</f>
        <v>74632.2</v>
      </c>
      <c r="G180" s="28">
        <f>SUM(G182:G183)</f>
        <v>2239</v>
      </c>
      <c r="H180" s="28">
        <f>SUM(H182:H183)</f>
        <v>72393.2</v>
      </c>
      <c r="I180" s="28">
        <f>SUM(I182:I183)</f>
        <v>0</v>
      </c>
      <c r="J180" s="28">
        <f t="shared" si="268"/>
        <v>11255.1</v>
      </c>
      <c r="K180" s="28">
        <f>SUM(K182:K183)</f>
        <v>337.7</v>
      </c>
      <c r="L180" s="28">
        <f>SUM(L182:L183)</f>
        <v>10917.4</v>
      </c>
      <c r="M180" s="28">
        <f>SUM(M182:M183)</f>
        <v>0</v>
      </c>
      <c r="N180" s="27">
        <f t="shared" si="269"/>
        <v>94146.6</v>
      </c>
      <c r="O180" s="28">
        <f>SUM(O182:O183)</f>
        <v>2824.4</v>
      </c>
      <c r="P180" s="28">
        <f>SUM(P182:P183)</f>
        <v>91322.2</v>
      </c>
      <c r="Q180" s="28">
        <f>SUM(Q182:Q183)</f>
        <v>0</v>
      </c>
      <c r="R180" s="27">
        <f t="shared" si="270"/>
        <v>112808.5</v>
      </c>
      <c r="S180" s="28">
        <f>SUM(S182:S183)</f>
        <v>3384.3</v>
      </c>
      <c r="T180" s="28">
        <f>SUM(T182:T183)</f>
        <v>109424.2</v>
      </c>
      <c r="U180" s="28">
        <f>SUM(U182:U183)</f>
        <v>0</v>
      </c>
      <c r="V180" s="29">
        <f t="shared" si="265"/>
        <v>0.151</v>
      </c>
    </row>
    <row r="181" spans="1:24" ht="18.75">
      <c r="A181" s="39"/>
      <c r="B181" s="61" t="s">
        <v>15</v>
      </c>
      <c r="C181" s="32"/>
      <c r="D181" s="32"/>
      <c r="E181" s="32"/>
      <c r="F181" s="28"/>
      <c r="G181" s="28"/>
      <c r="H181" s="28"/>
      <c r="I181" s="28"/>
      <c r="J181" s="28"/>
      <c r="K181" s="28"/>
      <c r="L181" s="28"/>
      <c r="M181" s="28"/>
      <c r="N181" s="27"/>
      <c r="O181" s="28"/>
      <c r="P181" s="28"/>
      <c r="Q181" s="28"/>
      <c r="R181" s="27"/>
      <c r="S181" s="28"/>
      <c r="T181" s="28"/>
      <c r="U181" s="28"/>
      <c r="V181" s="38"/>
    </row>
    <row r="182" spans="1:24" ht="136.5" customHeight="1">
      <c r="A182" s="39"/>
      <c r="B182" s="98" t="s">
        <v>347</v>
      </c>
      <c r="C182" s="51" t="s">
        <v>317</v>
      </c>
      <c r="D182" s="52" t="s">
        <v>64</v>
      </c>
      <c r="E182" s="35" t="s">
        <v>109</v>
      </c>
      <c r="F182" s="28">
        <f t="shared" ref="F182" si="271">G182+H182+I182</f>
        <v>63377.1</v>
      </c>
      <c r="G182" s="33">
        <v>1901.31</v>
      </c>
      <c r="H182" s="33">
        <v>61475.8</v>
      </c>
      <c r="I182" s="33"/>
      <c r="J182" s="28">
        <f t="shared" ref="J182" si="272">K182+L182+M182</f>
        <v>0</v>
      </c>
      <c r="K182" s="33"/>
      <c r="L182" s="33"/>
      <c r="M182" s="33"/>
      <c r="N182" s="28">
        <f t="shared" ref="N182" si="273">O182+P182+Q182</f>
        <v>76425.7</v>
      </c>
      <c r="O182" s="33">
        <v>2292.8000000000002</v>
      </c>
      <c r="P182" s="33">
        <v>74132.899999999994</v>
      </c>
      <c r="Q182" s="33"/>
      <c r="R182" s="28">
        <f t="shared" ref="R182" si="274">S182+T182+U182</f>
        <v>92736.3</v>
      </c>
      <c r="S182" s="33">
        <v>2782.09</v>
      </c>
      <c r="T182" s="33">
        <v>89954.2</v>
      </c>
      <c r="U182" s="33"/>
      <c r="V182" s="63">
        <f t="shared" ref="V182" si="275">J182/F182</f>
        <v>0</v>
      </c>
    </row>
    <row r="183" spans="1:24" ht="134.25" customHeight="1">
      <c r="A183" s="39"/>
      <c r="B183" s="41" t="s">
        <v>318</v>
      </c>
      <c r="C183" s="51" t="s">
        <v>317</v>
      </c>
      <c r="D183" s="52" t="s">
        <v>64</v>
      </c>
      <c r="E183" s="35" t="s">
        <v>199</v>
      </c>
      <c r="F183" s="28">
        <f t="shared" si="266"/>
        <v>11255.1</v>
      </c>
      <c r="G183" s="33">
        <v>337.65</v>
      </c>
      <c r="H183" s="33">
        <v>10917.4</v>
      </c>
      <c r="I183" s="33"/>
      <c r="J183" s="28">
        <f t="shared" ref="J183" si="276">K183+L183+M183</f>
        <v>11255.1</v>
      </c>
      <c r="K183" s="33">
        <v>337.7</v>
      </c>
      <c r="L183" s="33">
        <v>10917.4</v>
      </c>
      <c r="M183" s="33"/>
      <c r="N183" s="28">
        <f t="shared" ref="N183" si="277">O183+P183+Q183</f>
        <v>17720.900000000001</v>
      </c>
      <c r="O183" s="33">
        <v>531.6</v>
      </c>
      <c r="P183" s="33">
        <v>17189.3</v>
      </c>
      <c r="Q183" s="33"/>
      <c r="R183" s="28">
        <f t="shared" ref="R183" si="278">S183+T183+U183</f>
        <v>20072.2</v>
      </c>
      <c r="S183" s="33">
        <v>602.16</v>
      </c>
      <c r="T183" s="33">
        <v>19470</v>
      </c>
      <c r="U183" s="33"/>
      <c r="V183" s="63">
        <v>0</v>
      </c>
      <c r="X183" s="18"/>
    </row>
    <row r="184" spans="1:24" ht="45" customHeight="1">
      <c r="A184" s="11" t="s">
        <v>101</v>
      </c>
      <c r="B184" s="25" t="s">
        <v>339</v>
      </c>
      <c r="C184" s="37" t="s">
        <v>12</v>
      </c>
      <c r="D184" s="69" t="s">
        <v>12</v>
      </c>
      <c r="E184" s="37" t="s">
        <v>12</v>
      </c>
      <c r="F184" s="27">
        <f t="shared" si="266"/>
        <v>114098.4</v>
      </c>
      <c r="G184" s="28">
        <f>SUM(G186:G193)</f>
        <v>4412.8</v>
      </c>
      <c r="H184" s="28">
        <f t="shared" ref="H184:I184" si="279">SUM(H186:H193)</f>
        <v>109685.6</v>
      </c>
      <c r="I184" s="28">
        <f t="shared" si="279"/>
        <v>0</v>
      </c>
      <c r="J184" s="27">
        <f t="shared" ref="J184" si="280">K184+L184+M184</f>
        <v>103863.4</v>
      </c>
      <c r="K184" s="28">
        <f>SUM(K186:K193)</f>
        <v>4105.8</v>
      </c>
      <c r="L184" s="28">
        <f t="shared" ref="L184:M184" si="281">SUM(L186:L193)</f>
        <v>99757.6</v>
      </c>
      <c r="M184" s="28">
        <f t="shared" si="281"/>
        <v>0</v>
      </c>
      <c r="N184" s="27">
        <f t="shared" ref="N184" si="282">O184+P184+Q184</f>
        <v>163449</v>
      </c>
      <c r="O184" s="28">
        <f>SUM(O186:O193)</f>
        <v>5893.3</v>
      </c>
      <c r="P184" s="28">
        <f>SUM(P186:P193)</f>
        <v>157555.70000000001</v>
      </c>
      <c r="Q184" s="28">
        <f t="shared" ref="Q184" si="283">SUM(Q186:Q193)</f>
        <v>0</v>
      </c>
      <c r="R184" s="27">
        <f t="shared" ref="R184" si="284">S184+T184+U184</f>
        <v>113202.5</v>
      </c>
      <c r="S184" s="28">
        <f>SUM(S186:S193)</f>
        <v>4386</v>
      </c>
      <c r="T184" s="28">
        <f t="shared" ref="T184:U184" si="285">SUM(T186:T193)</f>
        <v>108816.5</v>
      </c>
      <c r="U184" s="28">
        <f t="shared" si="285"/>
        <v>0</v>
      </c>
      <c r="V184" s="29">
        <f t="shared" si="265"/>
        <v>0.91</v>
      </c>
    </row>
    <row r="185" spans="1:24" ht="18.75">
      <c r="A185" s="39"/>
      <c r="B185" s="41" t="s">
        <v>15</v>
      </c>
      <c r="C185" s="32"/>
      <c r="D185" s="42"/>
      <c r="E185" s="32"/>
      <c r="F185" s="28"/>
      <c r="G185" s="33"/>
      <c r="H185" s="33"/>
      <c r="I185" s="33"/>
      <c r="J185" s="28"/>
      <c r="K185" s="33"/>
      <c r="L185" s="33"/>
      <c r="M185" s="33"/>
      <c r="N185" s="28"/>
      <c r="O185" s="33"/>
      <c r="P185" s="33"/>
      <c r="Q185" s="33"/>
      <c r="R185" s="28"/>
      <c r="S185" s="33"/>
      <c r="T185" s="33"/>
      <c r="U185" s="33"/>
      <c r="V185" s="63"/>
    </row>
    <row r="186" spans="1:24" ht="115.5">
      <c r="A186" s="39"/>
      <c r="B186" s="41" t="s">
        <v>319</v>
      </c>
      <c r="C186" s="35" t="s">
        <v>317</v>
      </c>
      <c r="D186" s="36" t="s">
        <v>64</v>
      </c>
      <c r="E186" s="35" t="s">
        <v>110</v>
      </c>
      <c r="F186" s="28">
        <f t="shared" si="266"/>
        <v>2577.3000000000002</v>
      </c>
      <c r="G186" s="33">
        <v>77.3</v>
      </c>
      <c r="H186" s="33">
        <v>2500</v>
      </c>
      <c r="I186" s="33"/>
      <c r="J186" s="28">
        <f t="shared" ref="J186:J192" si="286">K186+L186+M186</f>
        <v>2577.3000000000002</v>
      </c>
      <c r="K186" s="33">
        <v>77.3</v>
      </c>
      <c r="L186" s="33">
        <v>2500</v>
      </c>
      <c r="M186" s="33"/>
      <c r="N186" s="28">
        <f t="shared" ref="N186:N192" si="287">O186+P186+Q186</f>
        <v>2577.3000000000002</v>
      </c>
      <c r="O186" s="33">
        <v>77.3</v>
      </c>
      <c r="P186" s="33">
        <v>2500</v>
      </c>
      <c r="Q186" s="33"/>
      <c r="R186" s="28">
        <f t="shared" ref="R186:R192" si="288">S186+T186+U186</f>
        <v>0</v>
      </c>
      <c r="S186" s="33">
        <v>0</v>
      </c>
      <c r="T186" s="33">
        <v>0</v>
      </c>
      <c r="U186" s="33"/>
      <c r="V186" s="63">
        <f t="shared" si="265"/>
        <v>1</v>
      </c>
    </row>
    <row r="187" spans="1:24" ht="115.5">
      <c r="A187" s="39"/>
      <c r="B187" s="41" t="s">
        <v>320</v>
      </c>
      <c r="C187" s="35" t="s">
        <v>317</v>
      </c>
      <c r="D187" s="36" t="s">
        <v>64</v>
      </c>
      <c r="E187" s="35" t="s">
        <v>324</v>
      </c>
      <c r="F187" s="28">
        <f t="shared" si="266"/>
        <v>3608.3</v>
      </c>
      <c r="G187" s="33">
        <v>108.25</v>
      </c>
      <c r="H187" s="33">
        <v>3500</v>
      </c>
      <c r="I187" s="33"/>
      <c r="J187" s="28">
        <f t="shared" si="286"/>
        <v>3608.3</v>
      </c>
      <c r="K187" s="33">
        <v>108.3</v>
      </c>
      <c r="L187" s="33">
        <v>3500</v>
      </c>
      <c r="M187" s="33"/>
      <c r="N187" s="28">
        <f t="shared" si="287"/>
        <v>3608.2</v>
      </c>
      <c r="O187" s="33">
        <v>108.2</v>
      </c>
      <c r="P187" s="33">
        <v>3500</v>
      </c>
      <c r="Q187" s="33"/>
      <c r="R187" s="28">
        <f t="shared" si="288"/>
        <v>0</v>
      </c>
      <c r="S187" s="33">
        <v>0</v>
      </c>
      <c r="T187" s="33">
        <v>0</v>
      </c>
      <c r="U187" s="33"/>
      <c r="V187" s="63">
        <f t="shared" si="265"/>
        <v>1</v>
      </c>
    </row>
    <row r="188" spans="1:24" ht="99">
      <c r="A188" s="39"/>
      <c r="B188" s="41" t="s">
        <v>321</v>
      </c>
      <c r="C188" s="35" t="s">
        <v>317</v>
      </c>
      <c r="D188" s="36" t="s">
        <v>64</v>
      </c>
      <c r="E188" s="35" t="s">
        <v>181</v>
      </c>
      <c r="F188" s="28">
        <f t="shared" si="266"/>
        <v>11670.4</v>
      </c>
      <c r="G188" s="33">
        <v>350.11</v>
      </c>
      <c r="H188" s="33">
        <v>11320.3</v>
      </c>
      <c r="I188" s="33"/>
      <c r="J188" s="28">
        <f t="shared" si="286"/>
        <v>11670.4</v>
      </c>
      <c r="K188" s="33">
        <v>350.1</v>
      </c>
      <c r="L188" s="33">
        <v>11320.3</v>
      </c>
      <c r="M188" s="33"/>
      <c r="N188" s="28">
        <f t="shared" si="287"/>
        <v>11670.4</v>
      </c>
      <c r="O188" s="33">
        <v>350.1</v>
      </c>
      <c r="P188" s="33">
        <v>11320.3</v>
      </c>
      <c r="Q188" s="33"/>
      <c r="R188" s="28">
        <f t="shared" si="288"/>
        <v>0</v>
      </c>
      <c r="S188" s="33">
        <v>0</v>
      </c>
      <c r="T188" s="33">
        <v>0</v>
      </c>
      <c r="U188" s="33"/>
      <c r="V188" s="63">
        <f t="shared" si="265"/>
        <v>1</v>
      </c>
    </row>
    <row r="189" spans="1:24" ht="99">
      <c r="A189" s="39"/>
      <c r="B189" s="41" t="s">
        <v>322</v>
      </c>
      <c r="C189" s="35" t="s">
        <v>317</v>
      </c>
      <c r="D189" s="36" t="s">
        <v>64</v>
      </c>
      <c r="E189" s="35" t="s">
        <v>200</v>
      </c>
      <c r="F189" s="28">
        <f t="shared" si="266"/>
        <v>10975.6</v>
      </c>
      <c r="G189" s="33">
        <v>329.27</v>
      </c>
      <c r="H189" s="33">
        <v>10646.3</v>
      </c>
      <c r="I189" s="33"/>
      <c r="J189" s="28">
        <f t="shared" si="286"/>
        <v>10975.6</v>
      </c>
      <c r="K189" s="33">
        <v>329.3</v>
      </c>
      <c r="L189" s="33">
        <v>10646.3</v>
      </c>
      <c r="M189" s="33"/>
      <c r="N189" s="28">
        <f t="shared" si="287"/>
        <v>11469.2</v>
      </c>
      <c r="O189" s="33">
        <v>344.1</v>
      </c>
      <c r="P189" s="33">
        <v>11125.1</v>
      </c>
      <c r="Q189" s="33"/>
      <c r="R189" s="28">
        <f t="shared" si="288"/>
        <v>10450.299999999999</v>
      </c>
      <c r="S189" s="33">
        <v>313.51</v>
      </c>
      <c r="T189" s="33">
        <v>10136.799999999999</v>
      </c>
      <c r="U189" s="33"/>
      <c r="V189" s="63">
        <f t="shared" si="265"/>
        <v>1</v>
      </c>
    </row>
    <row r="190" spans="1:24" ht="49.5">
      <c r="A190" s="39"/>
      <c r="B190" s="41" t="s">
        <v>201</v>
      </c>
      <c r="C190" s="35" t="s">
        <v>325</v>
      </c>
      <c r="D190" s="36" t="s">
        <v>237</v>
      </c>
      <c r="E190" s="35" t="s">
        <v>202</v>
      </c>
      <c r="F190" s="28">
        <f t="shared" si="266"/>
        <v>40527.5</v>
      </c>
      <c r="G190" s="33">
        <f>1215.8+0.03</f>
        <v>1215.8</v>
      </c>
      <c r="H190" s="33">
        <v>39311.699999999997</v>
      </c>
      <c r="I190" s="33"/>
      <c r="J190" s="28">
        <f t="shared" si="286"/>
        <v>40527.5</v>
      </c>
      <c r="K190" s="33">
        <v>1215.8</v>
      </c>
      <c r="L190" s="33">
        <v>39311.699999999997</v>
      </c>
      <c r="M190" s="33"/>
      <c r="N190" s="28">
        <f t="shared" si="287"/>
        <v>83511.3</v>
      </c>
      <c r="O190" s="33">
        <v>2505.3000000000002</v>
      </c>
      <c r="P190" s="33">
        <v>81006</v>
      </c>
      <c r="Q190" s="33"/>
      <c r="R190" s="28">
        <f t="shared" si="288"/>
        <v>30879.1</v>
      </c>
      <c r="S190" s="33">
        <v>926.4</v>
      </c>
      <c r="T190" s="33">
        <v>29952.7</v>
      </c>
      <c r="U190" s="33"/>
      <c r="V190" s="63">
        <f t="shared" si="265"/>
        <v>1</v>
      </c>
    </row>
    <row r="191" spans="1:24" ht="90" customHeight="1">
      <c r="A191" s="39"/>
      <c r="B191" s="41" t="s">
        <v>323</v>
      </c>
      <c r="C191" s="35" t="s">
        <v>317</v>
      </c>
      <c r="D191" s="36" t="s">
        <v>64</v>
      </c>
      <c r="E191" s="35" t="s">
        <v>203</v>
      </c>
      <c r="F191" s="28">
        <f t="shared" si="266"/>
        <v>3529.2</v>
      </c>
      <c r="G191" s="33">
        <v>105.88</v>
      </c>
      <c r="H191" s="33">
        <v>3423.3</v>
      </c>
      <c r="I191" s="33"/>
      <c r="J191" s="28">
        <f t="shared" si="286"/>
        <v>3529.2</v>
      </c>
      <c r="K191" s="33">
        <v>105.9</v>
      </c>
      <c r="L191" s="33">
        <v>3423.3</v>
      </c>
      <c r="M191" s="33"/>
      <c r="N191" s="28">
        <f t="shared" si="287"/>
        <v>3529.2</v>
      </c>
      <c r="O191" s="33">
        <v>105.9</v>
      </c>
      <c r="P191" s="33">
        <v>3423.3</v>
      </c>
      <c r="Q191" s="33"/>
      <c r="R191" s="28">
        <f t="shared" si="288"/>
        <v>0</v>
      </c>
      <c r="S191" s="33">
        <v>0</v>
      </c>
      <c r="T191" s="33">
        <v>0</v>
      </c>
      <c r="U191" s="33"/>
      <c r="V191" s="63">
        <f t="shared" si="265"/>
        <v>1</v>
      </c>
    </row>
    <row r="192" spans="1:24" ht="49.5">
      <c r="A192" s="39"/>
      <c r="B192" s="41" t="s">
        <v>243</v>
      </c>
      <c r="C192" s="35" t="s">
        <v>326</v>
      </c>
      <c r="D192" s="36" t="s">
        <v>102</v>
      </c>
      <c r="E192" s="35" t="s">
        <v>238</v>
      </c>
      <c r="F192" s="28">
        <f t="shared" si="266"/>
        <v>40189.699999999997</v>
      </c>
      <c r="G192" s="33">
        <v>1205.7</v>
      </c>
      <c r="H192" s="33">
        <v>38984</v>
      </c>
      <c r="I192" s="33"/>
      <c r="J192" s="28">
        <f t="shared" si="286"/>
        <v>29954.6</v>
      </c>
      <c r="K192" s="33">
        <v>898.6</v>
      </c>
      <c r="L192" s="33">
        <v>29056</v>
      </c>
      <c r="M192" s="33"/>
      <c r="N192" s="28">
        <f t="shared" si="287"/>
        <v>46062.9</v>
      </c>
      <c r="O192" s="33">
        <v>1381.9</v>
      </c>
      <c r="P192" s="33">
        <v>44681</v>
      </c>
      <c r="Q192" s="33"/>
      <c r="R192" s="28">
        <f t="shared" si="288"/>
        <v>70852.600000000006</v>
      </c>
      <c r="S192" s="33">
        <v>2125.6</v>
      </c>
      <c r="T192" s="33">
        <v>68727</v>
      </c>
      <c r="U192" s="33"/>
      <c r="V192" s="63">
        <f t="shared" si="265"/>
        <v>0.745</v>
      </c>
    </row>
    <row r="193" spans="1:101" ht="62.25" customHeight="1">
      <c r="A193" s="39"/>
      <c r="B193" s="41" t="s">
        <v>103</v>
      </c>
      <c r="C193" s="35" t="s">
        <v>326</v>
      </c>
      <c r="D193" s="36" t="s">
        <v>102</v>
      </c>
      <c r="E193" s="35" t="s">
        <v>205</v>
      </c>
      <c r="F193" s="28">
        <f t="shared" si="266"/>
        <v>1020.5</v>
      </c>
      <c r="G193" s="33">
        <v>1020.5</v>
      </c>
      <c r="H193" s="33"/>
      <c r="I193" s="33"/>
      <c r="J193" s="28">
        <f t="shared" ref="J193:J195" si="289">K193+L193+M193</f>
        <v>1020.5</v>
      </c>
      <c r="K193" s="33">
        <v>1020.5</v>
      </c>
      <c r="L193" s="33"/>
      <c r="M193" s="33"/>
      <c r="N193" s="28">
        <f t="shared" ref="N193:N195" si="290">O193+P193+Q193</f>
        <v>1020.5</v>
      </c>
      <c r="O193" s="33">
        <v>1020.5</v>
      </c>
      <c r="P193" s="33"/>
      <c r="Q193" s="33"/>
      <c r="R193" s="28">
        <f t="shared" ref="R193:R195" si="291">S193+T193+U193</f>
        <v>1020.5</v>
      </c>
      <c r="S193" s="33">
        <v>1020.5</v>
      </c>
      <c r="T193" s="33"/>
      <c r="U193" s="33"/>
      <c r="V193" s="63">
        <f t="shared" si="265"/>
        <v>1</v>
      </c>
    </row>
    <row r="194" spans="1:101" s="66" customFormat="1" ht="51.75" customHeight="1">
      <c r="A194" s="19" t="s">
        <v>104</v>
      </c>
      <c r="B194" s="60" t="s">
        <v>105</v>
      </c>
      <c r="C194" s="21" t="s">
        <v>12</v>
      </c>
      <c r="D194" s="21" t="s">
        <v>12</v>
      </c>
      <c r="E194" s="21" t="s">
        <v>12</v>
      </c>
      <c r="F194" s="45">
        <f t="shared" si="266"/>
        <v>18200</v>
      </c>
      <c r="G194" s="45">
        <f>G195</f>
        <v>18200</v>
      </c>
      <c r="H194" s="45">
        <f>H195</f>
        <v>0</v>
      </c>
      <c r="I194" s="45">
        <f>I195</f>
        <v>0</v>
      </c>
      <c r="J194" s="45">
        <f t="shared" si="289"/>
        <v>10890.8</v>
      </c>
      <c r="K194" s="45">
        <f>K195</f>
        <v>10890.8</v>
      </c>
      <c r="L194" s="45">
        <f>L195</f>
        <v>0</v>
      </c>
      <c r="M194" s="45">
        <f>M195</f>
        <v>0</v>
      </c>
      <c r="N194" s="45">
        <f t="shared" si="290"/>
        <v>1500</v>
      </c>
      <c r="O194" s="45">
        <f>O195</f>
        <v>1500</v>
      </c>
      <c r="P194" s="45">
        <f>P195</f>
        <v>0</v>
      </c>
      <c r="Q194" s="45">
        <f>Q195</f>
        <v>0</v>
      </c>
      <c r="R194" s="45">
        <f t="shared" si="291"/>
        <v>1500</v>
      </c>
      <c r="S194" s="45">
        <f>S195</f>
        <v>1500</v>
      </c>
      <c r="T194" s="45">
        <f>T195</f>
        <v>0</v>
      </c>
      <c r="U194" s="45">
        <f>U195</f>
        <v>0</v>
      </c>
      <c r="V194" s="46">
        <f t="shared" si="265"/>
        <v>0.59799999999999998</v>
      </c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</row>
    <row r="195" spans="1:101" ht="58.5" customHeight="1">
      <c r="A195" s="11" t="s">
        <v>106</v>
      </c>
      <c r="B195" s="25" t="s">
        <v>328</v>
      </c>
      <c r="C195" s="37" t="s">
        <v>12</v>
      </c>
      <c r="D195" s="37" t="s">
        <v>12</v>
      </c>
      <c r="E195" s="37" t="s">
        <v>12</v>
      </c>
      <c r="F195" s="28">
        <f t="shared" si="266"/>
        <v>18200</v>
      </c>
      <c r="G195" s="28">
        <f>SUM(G197:G198)</f>
        <v>18200</v>
      </c>
      <c r="H195" s="28">
        <f>SUM(H197:H198)</f>
        <v>0</v>
      </c>
      <c r="I195" s="28">
        <f>SUM(I197:I198)</f>
        <v>0</v>
      </c>
      <c r="J195" s="28">
        <f t="shared" si="289"/>
        <v>10890.8</v>
      </c>
      <c r="K195" s="28">
        <f>SUM(K197:K198)</f>
        <v>10890.8</v>
      </c>
      <c r="L195" s="28">
        <f>SUM(L197:L198)</f>
        <v>0</v>
      </c>
      <c r="M195" s="28">
        <f>SUM(M197:M198)</f>
        <v>0</v>
      </c>
      <c r="N195" s="27">
        <f t="shared" si="290"/>
        <v>1500</v>
      </c>
      <c r="O195" s="28">
        <f>SUM(O197:O198)</f>
        <v>1500</v>
      </c>
      <c r="P195" s="28">
        <f>SUM(P197:P198)</f>
        <v>0</v>
      </c>
      <c r="Q195" s="28">
        <f>SUM(Q197:Q198)</f>
        <v>0</v>
      </c>
      <c r="R195" s="27">
        <f t="shared" si="291"/>
        <v>1500</v>
      </c>
      <c r="S195" s="28">
        <f>SUM(S197:S198)</f>
        <v>1500</v>
      </c>
      <c r="T195" s="28">
        <f>SUM(T197:T198)</f>
        <v>0</v>
      </c>
      <c r="U195" s="28">
        <f>SUM(U197:U198)</f>
        <v>0</v>
      </c>
      <c r="V195" s="38">
        <f t="shared" si="265"/>
        <v>0.59799999999999998</v>
      </c>
    </row>
    <row r="196" spans="1:101" ht="18.75">
      <c r="A196" s="39"/>
      <c r="B196" s="61" t="s">
        <v>15</v>
      </c>
      <c r="C196" s="32"/>
      <c r="D196" s="32"/>
      <c r="E196" s="32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38"/>
    </row>
    <row r="197" spans="1:101" ht="75" customHeight="1">
      <c r="A197" s="39"/>
      <c r="B197" s="41" t="s">
        <v>327</v>
      </c>
      <c r="C197" s="35">
        <v>840</v>
      </c>
      <c r="D197" s="36" t="s">
        <v>64</v>
      </c>
      <c r="E197" s="35" t="s">
        <v>111</v>
      </c>
      <c r="F197" s="28">
        <f t="shared" si="266"/>
        <v>15700</v>
      </c>
      <c r="G197" s="33">
        <v>15700</v>
      </c>
      <c r="H197" s="33"/>
      <c r="I197" s="33"/>
      <c r="J197" s="28">
        <f t="shared" ref="J197:J198" si="292">K197+L197+M197</f>
        <v>10890.8</v>
      </c>
      <c r="K197" s="33">
        <v>10890.8</v>
      </c>
      <c r="L197" s="33"/>
      <c r="M197" s="33"/>
      <c r="N197" s="28">
        <f t="shared" ref="N197:N198" si="293">O197+P197+Q197</f>
        <v>1500</v>
      </c>
      <c r="O197" s="33">
        <v>1500</v>
      </c>
      <c r="P197" s="33"/>
      <c r="Q197" s="33"/>
      <c r="R197" s="28">
        <f t="shared" ref="R197:R198" si="294">S197+T197+U197</f>
        <v>1500</v>
      </c>
      <c r="S197" s="33">
        <v>1500</v>
      </c>
      <c r="T197" s="33"/>
      <c r="U197" s="33"/>
      <c r="V197" s="63">
        <f t="shared" si="265"/>
        <v>0.69399999999999995</v>
      </c>
    </row>
    <row r="198" spans="1:101" ht="74.25" customHeight="1">
      <c r="A198" s="39"/>
      <c r="B198" s="41" t="s">
        <v>365</v>
      </c>
      <c r="C198" s="35">
        <v>804</v>
      </c>
      <c r="D198" s="36" t="s">
        <v>65</v>
      </c>
      <c r="E198" s="35" t="s">
        <v>175</v>
      </c>
      <c r="F198" s="28">
        <f t="shared" si="266"/>
        <v>2500</v>
      </c>
      <c r="G198" s="33">
        <v>2500</v>
      </c>
      <c r="H198" s="33"/>
      <c r="I198" s="33"/>
      <c r="J198" s="28">
        <f t="shared" si="292"/>
        <v>0</v>
      </c>
      <c r="K198" s="33"/>
      <c r="L198" s="33"/>
      <c r="M198" s="33"/>
      <c r="N198" s="28">
        <f t="shared" si="293"/>
        <v>0</v>
      </c>
      <c r="O198" s="33"/>
      <c r="P198" s="33"/>
      <c r="Q198" s="33"/>
      <c r="R198" s="28">
        <f t="shared" si="294"/>
        <v>0</v>
      </c>
      <c r="S198" s="33"/>
      <c r="T198" s="33"/>
      <c r="U198" s="33"/>
      <c r="V198" s="63">
        <f t="shared" si="265"/>
        <v>0</v>
      </c>
    </row>
    <row r="199" spans="1:101" s="66" customFormat="1" ht="42.75" customHeight="1">
      <c r="A199" s="60">
        <v>11</v>
      </c>
      <c r="B199" s="60" t="s">
        <v>192</v>
      </c>
      <c r="C199" s="21" t="s">
        <v>12</v>
      </c>
      <c r="D199" s="21" t="s">
        <v>12</v>
      </c>
      <c r="E199" s="70" t="s">
        <v>12</v>
      </c>
      <c r="F199" s="45">
        <f t="shared" si="266"/>
        <v>4498.7</v>
      </c>
      <c r="G199" s="45">
        <f>G200</f>
        <v>135</v>
      </c>
      <c r="H199" s="45">
        <f>H200</f>
        <v>4363.7</v>
      </c>
      <c r="I199" s="45">
        <f>I200</f>
        <v>0</v>
      </c>
      <c r="J199" s="45">
        <f t="shared" ref="J199:J200" si="295">K199+L199+M199</f>
        <v>4498.7</v>
      </c>
      <c r="K199" s="45">
        <f>K200</f>
        <v>135</v>
      </c>
      <c r="L199" s="45">
        <f>L200</f>
        <v>4363.7</v>
      </c>
      <c r="M199" s="45">
        <f>M200</f>
        <v>0</v>
      </c>
      <c r="N199" s="45">
        <f t="shared" ref="N199:N200" si="296">O199+P199+Q199</f>
        <v>49763.6</v>
      </c>
      <c r="O199" s="45">
        <f>O200</f>
        <v>1492.9</v>
      </c>
      <c r="P199" s="45">
        <f>P200</f>
        <v>48270.7</v>
      </c>
      <c r="Q199" s="45">
        <f>Q200</f>
        <v>0</v>
      </c>
      <c r="R199" s="45">
        <f t="shared" ref="R199:R200" si="297">S199+T199+U199</f>
        <v>58502.1</v>
      </c>
      <c r="S199" s="45">
        <f>S200</f>
        <v>1755</v>
      </c>
      <c r="T199" s="45">
        <f>T200</f>
        <v>56747.1</v>
      </c>
      <c r="U199" s="45">
        <f>U200</f>
        <v>0</v>
      </c>
      <c r="V199" s="46">
        <f t="shared" si="265"/>
        <v>1</v>
      </c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</row>
    <row r="200" spans="1:101" s="8" customFormat="1" ht="39" customHeight="1">
      <c r="A200" s="24" t="s">
        <v>113</v>
      </c>
      <c r="B200" s="48" t="s">
        <v>114</v>
      </c>
      <c r="C200" s="26" t="s">
        <v>12</v>
      </c>
      <c r="D200" s="26" t="s">
        <v>12</v>
      </c>
      <c r="E200" s="26" t="s">
        <v>12</v>
      </c>
      <c r="F200" s="28">
        <f t="shared" si="266"/>
        <v>4498.7</v>
      </c>
      <c r="G200" s="28">
        <f t="shared" ref="G200:H200" si="298">SUM(G202:G203)</f>
        <v>135</v>
      </c>
      <c r="H200" s="28">
        <f t="shared" si="298"/>
        <v>4363.7</v>
      </c>
      <c r="I200" s="28">
        <f t="shared" ref="I200" si="299">SUM(I202:I203)</f>
        <v>0</v>
      </c>
      <c r="J200" s="28">
        <f t="shared" si="295"/>
        <v>4498.7</v>
      </c>
      <c r="K200" s="28">
        <f t="shared" ref="K200:M200" si="300">SUM(K202:K203)</f>
        <v>135</v>
      </c>
      <c r="L200" s="28">
        <f t="shared" si="300"/>
        <v>4363.7</v>
      </c>
      <c r="M200" s="28">
        <f t="shared" si="300"/>
        <v>0</v>
      </c>
      <c r="N200" s="28">
        <f t="shared" si="296"/>
        <v>49763.6</v>
      </c>
      <c r="O200" s="28">
        <f t="shared" ref="O200:T200" si="301">SUM(O202:O203)</f>
        <v>1492.9</v>
      </c>
      <c r="P200" s="28">
        <f t="shared" si="301"/>
        <v>48270.7</v>
      </c>
      <c r="Q200" s="28">
        <f t="shared" si="301"/>
        <v>0</v>
      </c>
      <c r="R200" s="28">
        <f t="shared" si="297"/>
        <v>58502.1</v>
      </c>
      <c r="S200" s="28">
        <f t="shared" si="301"/>
        <v>1755</v>
      </c>
      <c r="T200" s="28">
        <f t="shared" si="301"/>
        <v>56747.1</v>
      </c>
      <c r="U200" s="28">
        <f t="shared" ref="U200" si="302">SUM(U202:U203)</f>
        <v>0</v>
      </c>
      <c r="V200" s="38">
        <f t="shared" si="265"/>
        <v>1</v>
      </c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</row>
    <row r="201" spans="1:101" ht="18.75">
      <c r="A201" s="14"/>
      <c r="B201" s="65" t="s">
        <v>15</v>
      </c>
      <c r="C201" s="57"/>
      <c r="D201" s="57"/>
      <c r="E201" s="57"/>
      <c r="F201" s="28"/>
      <c r="G201" s="28"/>
      <c r="H201" s="28"/>
      <c r="I201" s="28"/>
      <c r="J201" s="28"/>
      <c r="K201" s="28"/>
      <c r="L201" s="28"/>
      <c r="M201" s="28"/>
      <c r="N201" s="27"/>
      <c r="O201" s="28"/>
      <c r="P201" s="28"/>
      <c r="Q201" s="28"/>
      <c r="R201" s="27"/>
      <c r="S201" s="28"/>
      <c r="T201" s="28"/>
      <c r="U201" s="28"/>
      <c r="V201" s="38"/>
    </row>
    <row r="202" spans="1:101" ht="49.5">
      <c r="A202" s="71"/>
      <c r="B202" s="41" t="s">
        <v>115</v>
      </c>
      <c r="C202" s="35">
        <v>818</v>
      </c>
      <c r="D202" s="36" t="s">
        <v>116</v>
      </c>
      <c r="E202" s="35" t="s">
        <v>117</v>
      </c>
      <c r="F202" s="28">
        <f t="shared" si="266"/>
        <v>4498.7</v>
      </c>
      <c r="G202" s="33">
        <v>135</v>
      </c>
      <c r="H202" s="33">
        <v>4363.7</v>
      </c>
      <c r="I202" s="33"/>
      <c r="J202" s="28">
        <f t="shared" ref="J202:J203" si="303">K202+L202+M202</f>
        <v>4498.7</v>
      </c>
      <c r="K202" s="33">
        <v>135</v>
      </c>
      <c r="L202" s="33">
        <v>4363.7</v>
      </c>
      <c r="M202" s="33"/>
      <c r="N202" s="27">
        <f t="shared" ref="N202:N203" si="304">O202+P202+Q202</f>
        <v>0</v>
      </c>
      <c r="O202" s="33">
        <v>0</v>
      </c>
      <c r="P202" s="33">
        <v>0</v>
      </c>
      <c r="Q202" s="33"/>
      <c r="R202" s="27">
        <f t="shared" ref="R202:R203" si="305">S202+T202+U202</f>
        <v>8593.5</v>
      </c>
      <c r="S202" s="33">
        <v>257.8</v>
      </c>
      <c r="T202" s="33">
        <v>8335.7000000000007</v>
      </c>
      <c r="U202" s="33"/>
      <c r="V202" s="63">
        <f t="shared" si="265"/>
        <v>1</v>
      </c>
    </row>
    <row r="203" spans="1:101" ht="54.75" customHeight="1">
      <c r="A203" s="71"/>
      <c r="B203" s="41" t="s">
        <v>221</v>
      </c>
      <c r="C203" s="35">
        <v>817</v>
      </c>
      <c r="D203" s="36" t="s">
        <v>102</v>
      </c>
      <c r="E203" s="35" t="s">
        <v>190</v>
      </c>
      <c r="F203" s="28">
        <f t="shared" si="266"/>
        <v>0</v>
      </c>
      <c r="G203" s="33">
        <f>1524.8-1524.8</f>
        <v>0</v>
      </c>
      <c r="H203" s="33">
        <f>49301.7-49301.7</f>
        <v>0</v>
      </c>
      <c r="I203" s="33"/>
      <c r="J203" s="28">
        <f t="shared" si="303"/>
        <v>0</v>
      </c>
      <c r="K203" s="33"/>
      <c r="L203" s="33"/>
      <c r="M203" s="33"/>
      <c r="N203" s="27">
        <f t="shared" si="304"/>
        <v>49763.6</v>
      </c>
      <c r="O203" s="33">
        <v>1492.9</v>
      </c>
      <c r="P203" s="33">
        <v>48270.7</v>
      </c>
      <c r="Q203" s="33"/>
      <c r="R203" s="27">
        <f t="shared" si="305"/>
        <v>49908.6</v>
      </c>
      <c r="S203" s="33">
        <v>1497.2</v>
      </c>
      <c r="T203" s="33">
        <v>48411.4</v>
      </c>
      <c r="U203" s="33"/>
      <c r="V203" s="63"/>
    </row>
    <row r="204" spans="1:101">
      <c r="B204" s="5" t="s">
        <v>329</v>
      </c>
    </row>
    <row r="205" spans="1:101" ht="16.5" customHeight="1">
      <c r="B205" s="5" t="s">
        <v>191</v>
      </c>
    </row>
    <row r="206" spans="1:101">
      <c r="B206" s="104" t="s">
        <v>368</v>
      </c>
      <c r="F206" s="3"/>
      <c r="G206" s="3"/>
      <c r="H206" s="3"/>
      <c r="J206" s="3"/>
      <c r="N206" s="3"/>
      <c r="O206" s="3"/>
      <c r="P206" s="3"/>
      <c r="R206" s="3"/>
      <c r="S206" s="3"/>
      <c r="T206" s="3"/>
      <c r="V206" s="3"/>
    </row>
    <row r="207" spans="1:101">
      <c r="B207" s="104" t="s">
        <v>369</v>
      </c>
      <c r="F207" s="3"/>
      <c r="G207" s="3"/>
      <c r="H207" s="3"/>
      <c r="J207" s="3"/>
      <c r="N207" s="3"/>
      <c r="O207" s="3"/>
      <c r="P207" s="3"/>
      <c r="R207" s="3"/>
      <c r="S207" s="3"/>
      <c r="T207" s="3"/>
      <c r="V207" s="3"/>
    </row>
    <row r="208" spans="1:101">
      <c r="B208" s="5" t="s">
        <v>370</v>
      </c>
      <c r="F208" s="3"/>
      <c r="G208" s="3"/>
      <c r="H208" s="3"/>
      <c r="J208" s="3"/>
      <c r="N208" s="3"/>
      <c r="O208" s="3"/>
      <c r="P208" s="3"/>
      <c r="R208" s="3"/>
      <c r="S208" s="3"/>
      <c r="T208" s="3"/>
      <c r="V208" s="3"/>
    </row>
    <row r="209" spans="6:22">
      <c r="F209" s="3"/>
      <c r="G209" s="3"/>
      <c r="H209" s="3"/>
      <c r="J209" s="3"/>
      <c r="N209" s="3"/>
      <c r="O209" s="3"/>
      <c r="P209" s="3"/>
      <c r="R209" s="3"/>
      <c r="S209" s="3"/>
      <c r="T209" s="3"/>
      <c r="V209" s="3"/>
    </row>
    <row r="210" spans="6:22">
      <c r="F210" s="3"/>
      <c r="G210" s="3"/>
      <c r="H210" s="3"/>
      <c r="J210" s="3"/>
      <c r="N210" s="3"/>
      <c r="O210" s="3"/>
      <c r="P210" s="3"/>
      <c r="R210" s="3"/>
      <c r="S210" s="3"/>
      <c r="T210" s="3"/>
      <c r="V210" s="3"/>
    </row>
    <row r="211" spans="6:22" ht="22.15" customHeight="1">
      <c r="F211" s="3"/>
      <c r="G211" s="3"/>
      <c r="H211" s="3"/>
      <c r="J211" s="3"/>
      <c r="N211" s="3"/>
      <c r="O211" s="3"/>
      <c r="P211" s="3"/>
      <c r="R211" s="3"/>
      <c r="S211" s="3"/>
      <c r="T211" s="3"/>
      <c r="V211" s="3"/>
    </row>
    <row r="212" spans="6:22" ht="22.15" customHeight="1">
      <c r="F212" s="3"/>
      <c r="G212" s="3"/>
      <c r="H212" s="3"/>
      <c r="J212" s="3"/>
      <c r="N212" s="3"/>
      <c r="O212" s="3"/>
      <c r="P212" s="3"/>
      <c r="R212" s="3"/>
      <c r="S212" s="3"/>
      <c r="T212" s="3"/>
      <c r="V212" s="3"/>
    </row>
    <row r="213" spans="6:22" ht="22.15" customHeight="1">
      <c r="F213" s="3"/>
      <c r="G213" s="3"/>
      <c r="H213" s="3"/>
      <c r="J213" s="3"/>
      <c r="N213" s="3"/>
      <c r="O213" s="3"/>
      <c r="P213" s="3"/>
      <c r="R213" s="3"/>
      <c r="S213" s="3"/>
      <c r="T213" s="3"/>
      <c r="V213" s="3"/>
    </row>
    <row r="214" spans="6:22" ht="22.15" customHeight="1">
      <c r="F214" s="3"/>
      <c r="G214" s="3"/>
      <c r="H214" s="3"/>
      <c r="J214" s="3"/>
      <c r="N214" s="3"/>
      <c r="O214" s="3"/>
      <c r="P214" s="3"/>
      <c r="R214" s="3"/>
      <c r="S214" s="3"/>
      <c r="T214" s="3"/>
      <c r="V214" s="3"/>
    </row>
    <row r="215" spans="6:22" ht="21" customHeight="1">
      <c r="F215" s="3"/>
      <c r="G215" s="3"/>
      <c r="H215" s="3"/>
      <c r="J215" s="3"/>
      <c r="N215" s="3"/>
      <c r="O215" s="3"/>
      <c r="P215" s="3"/>
      <c r="R215" s="3"/>
      <c r="S215" s="3"/>
      <c r="T215" s="3"/>
      <c r="V215" s="3"/>
    </row>
    <row r="216" spans="6:22" ht="21" customHeight="1">
      <c r="F216" s="3"/>
      <c r="G216" s="3"/>
      <c r="H216" s="3"/>
      <c r="J216" s="3"/>
      <c r="N216" s="3"/>
      <c r="O216" s="3"/>
      <c r="P216" s="3"/>
      <c r="R216" s="3"/>
      <c r="S216" s="3"/>
      <c r="T216" s="3"/>
      <c r="V216" s="3"/>
    </row>
    <row r="217" spans="6:22" ht="21" customHeight="1">
      <c r="F217" s="3"/>
      <c r="G217" s="3"/>
      <c r="H217" s="3"/>
      <c r="J217" s="3"/>
      <c r="N217" s="3"/>
      <c r="O217" s="3"/>
      <c r="P217" s="3"/>
      <c r="R217" s="3"/>
      <c r="S217" s="3"/>
      <c r="T217" s="3"/>
      <c r="V217" s="3"/>
    </row>
    <row r="218" spans="6:22" ht="21" customHeight="1">
      <c r="F218" s="3"/>
      <c r="G218" s="3"/>
      <c r="H218" s="3"/>
      <c r="J218" s="3"/>
      <c r="N218" s="3"/>
      <c r="O218" s="3"/>
      <c r="P218" s="3"/>
      <c r="R218" s="3"/>
      <c r="S218" s="3"/>
      <c r="T218" s="3"/>
      <c r="V218" s="3"/>
    </row>
    <row r="219" spans="6:22" ht="17.45" customHeight="1">
      <c r="F219" s="3"/>
      <c r="G219" s="3"/>
      <c r="H219" s="3"/>
      <c r="J219" s="3"/>
      <c r="N219" s="3"/>
      <c r="O219" s="3"/>
      <c r="P219" s="3"/>
      <c r="R219" s="3"/>
      <c r="S219" s="3"/>
      <c r="T219" s="3"/>
      <c r="V219" s="3"/>
    </row>
    <row r="220" spans="6:22" ht="16.149999999999999" customHeight="1">
      <c r="F220" s="3"/>
      <c r="G220" s="3"/>
      <c r="H220" s="3"/>
      <c r="J220" s="3"/>
      <c r="N220" s="3"/>
      <c r="O220" s="3"/>
      <c r="P220" s="3"/>
      <c r="R220" s="3"/>
      <c r="S220" s="3"/>
      <c r="T220" s="3"/>
      <c r="V220" s="3"/>
    </row>
    <row r="221" spans="6:22" ht="17.45" customHeight="1">
      <c r="F221" s="3"/>
      <c r="G221" s="3"/>
      <c r="H221" s="3"/>
      <c r="J221" s="3"/>
      <c r="N221" s="3"/>
      <c r="O221" s="3"/>
      <c r="P221" s="3"/>
      <c r="R221" s="3"/>
      <c r="S221" s="3"/>
      <c r="T221" s="3"/>
      <c r="V221" s="3"/>
    </row>
    <row r="222" spans="6:22" ht="20.45" customHeight="1">
      <c r="F222" s="3"/>
      <c r="G222" s="3"/>
      <c r="H222" s="3"/>
      <c r="J222" s="3"/>
      <c r="N222" s="3"/>
      <c r="O222" s="3"/>
      <c r="P222" s="3"/>
      <c r="R222" s="3"/>
      <c r="S222" s="3"/>
      <c r="T222" s="3"/>
      <c r="V222" s="3"/>
    </row>
    <row r="223" spans="6:22" ht="16.149999999999999" customHeight="1">
      <c r="F223" s="3"/>
      <c r="G223" s="3"/>
      <c r="H223" s="3"/>
      <c r="J223" s="3"/>
      <c r="N223" s="3"/>
      <c r="O223" s="3"/>
      <c r="P223" s="3"/>
      <c r="R223" s="3"/>
      <c r="S223" s="3"/>
      <c r="T223" s="3"/>
      <c r="V223" s="3"/>
    </row>
    <row r="224" spans="6:22" ht="17.45" customHeight="1">
      <c r="F224" s="3"/>
      <c r="G224" s="3"/>
      <c r="H224" s="3"/>
      <c r="J224" s="3"/>
      <c r="N224" s="3"/>
      <c r="O224" s="3"/>
      <c r="P224" s="3"/>
      <c r="R224" s="3"/>
      <c r="S224" s="3"/>
      <c r="T224" s="3"/>
      <c r="V224" s="3"/>
    </row>
    <row r="225" spans="6:22" ht="17.45" customHeight="1">
      <c r="F225" s="3"/>
      <c r="G225" s="3"/>
      <c r="H225" s="3"/>
      <c r="J225" s="3"/>
      <c r="N225" s="3"/>
      <c r="O225" s="3"/>
      <c r="P225" s="3"/>
      <c r="R225" s="3"/>
      <c r="S225" s="3"/>
      <c r="T225" s="3"/>
      <c r="V225" s="3"/>
    </row>
    <row r="226" spans="6:22">
      <c r="F226" s="3"/>
      <c r="G226" s="3"/>
      <c r="H226" s="3"/>
      <c r="J226" s="3"/>
      <c r="N226" s="3"/>
      <c r="O226" s="3"/>
      <c r="P226" s="3"/>
      <c r="R226" s="3"/>
      <c r="S226" s="3"/>
      <c r="T226" s="3"/>
      <c r="V226" s="3"/>
    </row>
    <row r="227" spans="6:22">
      <c r="F227" s="3"/>
      <c r="G227" s="3"/>
      <c r="H227" s="3"/>
      <c r="J227" s="3"/>
      <c r="N227" s="3"/>
      <c r="O227" s="3"/>
      <c r="P227" s="3"/>
      <c r="R227" s="3"/>
      <c r="S227" s="3"/>
      <c r="T227" s="3"/>
      <c r="V227" s="3"/>
    </row>
    <row r="228" spans="6:22">
      <c r="F228" s="3"/>
      <c r="G228" s="3"/>
      <c r="H228" s="3"/>
      <c r="J228" s="3"/>
      <c r="N228" s="3"/>
      <c r="O228" s="3"/>
      <c r="P228" s="3"/>
      <c r="R228" s="3"/>
      <c r="S228" s="3"/>
      <c r="T228" s="3"/>
      <c r="V228" s="3"/>
    </row>
    <row r="229" spans="6:22">
      <c r="F229" s="3"/>
      <c r="G229" s="3"/>
      <c r="H229" s="3"/>
      <c r="J229" s="3"/>
      <c r="N229" s="3"/>
      <c r="O229" s="3"/>
      <c r="P229" s="3"/>
      <c r="R229" s="3"/>
      <c r="S229" s="3"/>
      <c r="T229" s="3"/>
      <c r="V229" s="3"/>
    </row>
    <row r="230" spans="6:22">
      <c r="F230" s="3"/>
      <c r="G230" s="3"/>
      <c r="H230" s="3"/>
      <c r="J230" s="3"/>
      <c r="N230" s="3"/>
      <c r="O230" s="3"/>
      <c r="P230" s="3"/>
      <c r="R230" s="3"/>
      <c r="S230" s="3"/>
      <c r="T230" s="3"/>
      <c r="V230" s="3"/>
    </row>
    <row r="231" spans="6:22">
      <c r="F231" s="3"/>
      <c r="G231" s="3"/>
      <c r="H231" s="3"/>
      <c r="J231" s="3"/>
      <c r="N231" s="3"/>
      <c r="O231" s="3"/>
      <c r="P231" s="3"/>
      <c r="R231" s="3"/>
      <c r="S231" s="3"/>
      <c r="T231" s="3"/>
      <c r="V231" s="3"/>
    </row>
    <row r="232" spans="6:22">
      <c r="F232" s="3"/>
      <c r="G232" s="3"/>
      <c r="H232" s="3"/>
      <c r="J232" s="3"/>
      <c r="N232" s="3"/>
      <c r="O232" s="3"/>
      <c r="P232" s="3"/>
      <c r="R232" s="3"/>
      <c r="S232" s="3"/>
      <c r="T232" s="3"/>
      <c r="V232" s="3"/>
    </row>
    <row r="233" spans="6:22">
      <c r="F233" s="3"/>
      <c r="G233" s="3"/>
      <c r="H233" s="3"/>
      <c r="J233" s="3"/>
      <c r="N233" s="3"/>
      <c r="O233" s="3"/>
      <c r="P233" s="3"/>
      <c r="R233" s="3"/>
      <c r="S233" s="3"/>
      <c r="T233" s="3"/>
      <c r="V233" s="3"/>
    </row>
    <row r="234" spans="6:22">
      <c r="F234" s="3"/>
      <c r="G234" s="3"/>
      <c r="H234" s="3"/>
      <c r="J234" s="3"/>
      <c r="N234" s="3"/>
      <c r="O234" s="3"/>
      <c r="P234" s="3"/>
      <c r="R234" s="3"/>
      <c r="S234" s="3"/>
      <c r="T234" s="3"/>
      <c r="V234" s="3"/>
    </row>
    <row r="235" spans="6:22">
      <c r="F235" s="3"/>
      <c r="G235" s="3"/>
      <c r="H235" s="3"/>
      <c r="J235" s="3"/>
      <c r="N235" s="3"/>
      <c r="O235" s="3"/>
      <c r="P235" s="3"/>
      <c r="R235" s="3"/>
      <c r="S235" s="3"/>
      <c r="T235" s="3"/>
      <c r="V235" s="3"/>
    </row>
    <row r="236" spans="6:22">
      <c r="F236" s="3"/>
      <c r="G236" s="3"/>
      <c r="H236" s="3"/>
      <c r="J236" s="3"/>
      <c r="N236" s="3"/>
      <c r="O236" s="3"/>
      <c r="P236" s="3"/>
      <c r="R236" s="3"/>
      <c r="S236" s="3"/>
      <c r="T236" s="3"/>
      <c r="V236" s="3"/>
    </row>
    <row r="237" spans="6:22">
      <c r="F237" s="3"/>
      <c r="G237" s="3"/>
      <c r="H237" s="3"/>
      <c r="J237" s="3"/>
      <c r="N237" s="3"/>
      <c r="O237" s="3"/>
      <c r="P237" s="3"/>
      <c r="R237" s="3"/>
      <c r="S237" s="3"/>
      <c r="T237" s="3"/>
      <c r="V237" s="3"/>
    </row>
    <row r="238" spans="6:22">
      <c r="F238" s="3"/>
      <c r="G238" s="3"/>
      <c r="H238" s="3"/>
      <c r="J238" s="3"/>
      <c r="N238" s="3"/>
      <c r="O238" s="3"/>
      <c r="P238" s="3"/>
      <c r="R238" s="3"/>
      <c r="S238" s="3"/>
      <c r="T238" s="3"/>
      <c r="V238" s="3"/>
    </row>
    <row r="239" spans="6:22">
      <c r="F239" s="3"/>
      <c r="G239" s="3"/>
      <c r="H239" s="3"/>
      <c r="J239" s="3"/>
      <c r="N239" s="3"/>
      <c r="O239" s="3"/>
      <c r="P239" s="3"/>
      <c r="R239" s="3"/>
      <c r="S239" s="3"/>
      <c r="T239" s="3"/>
      <c r="V239" s="3"/>
    </row>
    <row r="240" spans="6:22">
      <c r="F240" s="3"/>
      <c r="G240" s="3"/>
      <c r="H240" s="3"/>
      <c r="J240" s="3"/>
      <c r="N240" s="3"/>
      <c r="O240" s="3"/>
      <c r="P240" s="3"/>
      <c r="R240" s="3"/>
      <c r="S240" s="3"/>
      <c r="T240" s="3"/>
      <c r="V240" s="3"/>
    </row>
    <row r="241" spans="6:22">
      <c r="F241" s="3"/>
      <c r="G241" s="3"/>
      <c r="H241" s="3"/>
      <c r="J241" s="3"/>
      <c r="N241" s="3"/>
      <c r="O241" s="3"/>
      <c r="P241" s="3"/>
      <c r="R241" s="3"/>
      <c r="S241" s="3"/>
      <c r="T241" s="3"/>
      <c r="V241" s="3"/>
    </row>
    <row r="242" spans="6:22">
      <c r="F242" s="3"/>
      <c r="G242" s="3"/>
      <c r="H242" s="3"/>
      <c r="J242" s="3"/>
      <c r="N242" s="3"/>
      <c r="O242" s="3"/>
      <c r="P242" s="3"/>
      <c r="R242" s="3"/>
      <c r="S242" s="3"/>
      <c r="T242" s="3"/>
      <c r="V242" s="3"/>
    </row>
    <row r="243" spans="6:22">
      <c r="F243" s="3"/>
      <c r="G243" s="3"/>
      <c r="H243" s="3"/>
      <c r="J243" s="3"/>
      <c r="N243" s="3"/>
      <c r="O243" s="3"/>
      <c r="P243" s="3"/>
      <c r="R243" s="3"/>
      <c r="S243" s="3"/>
      <c r="T243" s="3"/>
      <c r="V243" s="3"/>
    </row>
  </sheetData>
  <autoFilter ref="E12:E205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J15" sqref="J15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5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4"/>
  <rowBreaks count="2" manualBreakCount="2">
    <brk id="94" max="37" man="1"/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9.140625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9.140625" style="3"/>
    <col min="89" max="16384" width="9.140625" style="4"/>
  </cols>
  <sheetData>
    <row r="1" spans="1:88" ht="15" customHeight="1">
      <c r="A1" s="105" t="s">
        <v>239</v>
      </c>
      <c r="B1" s="105"/>
      <c r="C1" s="105"/>
      <c r="D1" s="105"/>
      <c r="E1" s="105"/>
    </row>
    <row r="2" spans="1:88" ht="37.5" customHeight="1">
      <c r="A2" s="105"/>
      <c r="B2" s="105"/>
      <c r="C2" s="105"/>
      <c r="D2" s="105"/>
      <c r="E2" s="105"/>
    </row>
    <row r="4" spans="1:88" ht="16.5" customHeight="1">
      <c r="A4" s="74" t="s">
        <v>0</v>
      </c>
      <c r="B4" s="75" t="s">
        <v>1</v>
      </c>
      <c r="C4" s="76" t="s">
        <v>194</v>
      </c>
      <c r="D4" s="76" t="s">
        <v>194</v>
      </c>
      <c r="E4" s="72" t="s">
        <v>234</v>
      </c>
      <c r="F4" s="73" t="s">
        <v>240</v>
      </c>
      <c r="G4" s="73" t="s">
        <v>241</v>
      </c>
      <c r="I4" s="126" t="s">
        <v>0</v>
      </c>
      <c r="J4" s="128" t="s">
        <v>1</v>
      </c>
      <c r="K4" s="130" t="s">
        <v>245</v>
      </c>
      <c r="L4" s="125" t="s">
        <v>246</v>
      </c>
      <c r="M4" s="125"/>
      <c r="N4" s="125" t="s">
        <v>248</v>
      </c>
      <c r="O4" s="125"/>
    </row>
    <row r="5" spans="1:88" ht="16.5" customHeight="1">
      <c r="A5" s="74"/>
      <c r="B5" s="81"/>
      <c r="C5" s="76"/>
      <c r="D5" s="76"/>
      <c r="E5" s="72"/>
      <c r="F5" s="73"/>
      <c r="G5" s="73"/>
      <c r="I5" s="127"/>
      <c r="J5" s="129"/>
      <c r="K5" s="131"/>
      <c r="L5" s="83" t="s">
        <v>247</v>
      </c>
      <c r="M5" s="83" t="s">
        <v>234</v>
      </c>
      <c r="N5" s="83" t="s">
        <v>247</v>
      </c>
      <c r="O5" s="83" t="s">
        <v>234</v>
      </c>
    </row>
    <row r="6" spans="1:88" ht="19.5">
      <c r="A6" s="14"/>
      <c r="B6" s="15" t="s">
        <v>10</v>
      </c>
      <c r="C6" s="16">
        <f>Лист1!F8/1000</f>
        <v>18935.2</v>
      </c>
      <c r="D6" s="16">
        <f>Лист1!J8/1000</f>
        <v>5531.3</v>
      </c>
      <c r="E6" s="17">
        <f>Лист1!V8</f>
        <v>0.29199999999999998</v>
      </c>
      <c r="F6" s="2"/>
      <c r="G6" s="2"/>
      <c r="I6" s="14"/>
      <c r="J6" s="65" t="s">
        <v>10</v>
      </c>
      <c r="K6" s="77">
        <f>C6</f>
        <v>18935.2</v>
      </c>
      <c r="L6" s="82">
        <f>D6</f>
        <v>5531.3</v>
      </c>
      <c r="M6" s="82">
        <f>L6/K6*100</f>
        <v>29.2</v>
      </c>
      <c r="N6" s="77">
        <v>5306.5</v>
      </c>
      <c r="O6" s="78">
        <f>N6/K6</f>
        <v>0.28000000000000003</v>
      </c>
      <c r="P6" s="18">
        <f>N6-L6</f>
        <v>-224.8</v>
      </c>
    </row>
    <row r="7" spans="1:88" s="66" customFormat="1" ht="49.5">
      <c r="A7" s="19" t="s">
        <v>9</v>
      </c>
      <c r="B7" s="60" t="s">
        <v>86</v>
      </c>
      <c r="C7" s="45">
        <f>Лист1!F139/1000</f>
        <v>6677.4</v>
      </c>
      <c r="D7" s="45">
        <f>Лист1!J139/1000</f>
        <v>2036.6</v>
      </c>
      <c r="E7" s="46">
        <f>Лист1!V139/1000</f>
        <v>0</v>
      </c>
      <c r="F7" s="2"/>
      <c r="G7" s="2"/>
      <c r="H7" s="3"/>
      <c r="I7" s="14" t="s">
        <v>9</v>
      </c>
      <c r="J7" s="65" t="s">
        <v>86</v>
      </c>
      <c r="K7" s="77">
        <f t="shared" ref="K7:K17" si="0">C7</f>
        <v>6677.4</v>
      </c>
      <c r="L7" s="77">
        <f t="shared" ref="L7:L17" si="1">D7</f>
        <v>2036.6</v>
      </c>
      <c r="M7" s="82">
        <f t="shared" ref="M7:M17" si="2">L7/K7*100</f>
        <v>30.5</v>
      </c>
      <c r="N7" s="79">
        <v>1692.4</v>
      </c>
      <c r="O7" s="78">
        <f t="shared" ref="O7:O17" si="3">N7/K7</f>
        <v>0.253</v>
      </c>
      <c r="P7" s="18">
        <f t="shared" ref="P7:P17" si="4">N7-L7</f>
        <v>-344.2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2713</v>
      </c>
      <c r="D8" s="22">
        <f>Лист1!J9/1000</f>
        <v>1482.6</v>
      </c>
      <c r="E8" s="23">
        <f>Лист1!V9/1000</f>
        <v>1E-3</v>
      </c>
      <c r="F8" s="2"/>
      <c r="G8" s="2"/>
      <c r="I8" s="14" t="s">
        <v>32</v>
      </c>
      <c r="J8" s="65" t="s">
        <v>11</v>
      </c>
      <c r="K8" s="77">
        <f t="shared" si="0"/>
        <v>2713</v>
      </c>
      <c r="L8" s="77">
        <f t="shared" si="1"/>
        <v>1482.6</v>
      </c>
      <c r="M8" s="82">
        <f t="shared" si="2"/>
        <v>54.6</v>
      </c>
      <c r="N8" s="80">
        <v>2032.2</v>
      </c>
      <c r="O8" s="78">
        <f t="shared" si="3"/>
        <v>0.749</v>
      </c>
      <c r="P8" s="18">
        <f t="shared" si="4"/>
        <v>549.6</v>
      </c>
    </row>
    <row r="9" spans="1:88" ht="33">
      <c r="A9" s="21">
        <v>3</v>
      </c>
      <c r="B9" s="43" t="s">
        <v>33</v>
      </c>
      <c r="C9" s="45">
        <f>Лист1!F36/1000</f>
        <v>3709.8</v>
      </c>
      <c r="D9" s="45">
        <f>Лист1!J36/1000</f>
        <v>881.4</v>
      </c>
      <c r="E9" s="46">
        <f>Лист1!V36/1000</f>
        <v>0</v>
      </c>
      <c r="F9" s="2"/>
      <c r="G9" s="2"/>
      <c r="I9" s="14">
        <v>3</v>
      </c>
      <c r="J9" s="85" t="s">
        <v>33</v>
      </c>
      <c r="K9" s="77">
        <f t="shared" si="0"/>
        <v>3709.8</v>
      </c>
      <c r="L9" s="77">
        <f t="shared" si="1"/>
        <v>881.4</v>
      </c>
      <c r="M9" s="82">
        <f t="shared" si="2"/>
        <v>23.8</v>
      </c>
      <c r="N9" s="79">
        <v>350.4</v>
      </c>
      <c r="O9" s="78">
        <f t="shared" si="3"/>
        <v>9.4E-2</v>
      </c>
      <c r="P9" s="18">
        <f t="shared" si="4"/>
        <v>-531</v>
      </c>
    </row>
    <row r="10" spans="1:88" s="66" customFormat="1" ht="33">
      <c r="A10" s="19" t="s">
        <v>60</v>
      </c>
      <c r="B10" s="60" t="s">
        <v>68</v>
      </c>
      <c r="C10" s="45">
        <f>Лист1!F112/1000</f>
        <v>3508.7</v>
      </c>
      <c r="D10" s="45">
        <f>Лист1!J112/1000</f>
        <v>422.3</v>
      </c>
      <c r="E10" s="46">
        <f>Лист1!V112/1000</f>
        <v>0</v>
      </c>
      <c r="F10" s="2"/>
      <c r="G10" s="2"/>
      <c r="H10" s="3"/>
      <c r="I10" s="14" t="s">
        <v>67</v>
      </c>
      <c r="J10" s="65" t="s">
        <v>68</v>
      </c>
      <c r="K10" s="77">
        <f t="shared" si="0"/>
        <v>3508.7</v>
      </c>
      <c r="L10" s="77">
        <f t="shared" si="1"/>
        <v>422.3</v>
      </c>
      <c r="M10" s="82">
        <f t="shared" si="2"/>
        <v>12</v>
      </c>
      <c r="N10" s="79">
        <v>548.5</v>
      </c>
      <c r="O10" s="78">
        <f t="shared" si="3"/>
        <v>0.156</v>
      </c>
      <c r="P10" s="18">
        <f t="shared" si="4"/>
        <v>126.2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67</v>
      </c>
      <c r="B11" s="20" t="s">
        <v>45</v>
      </c>
      <c r="C11" s="45">
        <f>Лист1!F65/1000</f>
        <v>1814.8</v>
      </c>
      <c r="D11" s="45">
        <f>Лист1!J65/1000</f>
        <v>496.3</v>
      </c>
      <c r="E11" s="46">
        <f>Лист1!V65/1000</f>
        <v>0</v>
      </c>
      <c r="F11" s="30"/>
      <c r="G11" s="2"/>
      <c r="I11" s="14" t="s">
        <v>60</v>
      </c>
      <c r="J11" s="65" t="s">
        <v>45</v>
      </c>
      <c r="K11" s="77">
        <f t="shared" si="0"/>
        <v>1814.8</v>
      </c>
      <c r="L11" s="77">
        <f t="shared" si="1"/>
        <v>496.3</v>
      </c>
      <c r="M11" s="82">
        <f t="shared" si="2"/>
        <v>27.3</v>
      </c>
      <c r="N11" s="79">
        <v>355</v>
      </c>
      <c r="O11" s="78">
        <f t="shared" si="3"/>
        <v>0.19600000000000001</v>
      </c>
      <c r="P11" s="18">
        <f t="shared" si="4"/>
        <v>-141.30000000000001</v>
      </c>
    </row>
    <row r="12" spans="1:88" s="66" customFormat="1" ht="33">
      <c r="A12" s="19" t="s">
        <v>73</v>
      </c>
      <c r="B12" s="20" t="s">
        <v>74</v>
      </c>
      <c r="C12" s="45">
        <f>Лист1!F127/1000</f>
        <v>107.1</v>
      </c>
      <c r="D12" s="45">
        <f>Лист1!J127/1000</f>
        <v>12.5</v>
      </c>
      <c r="E12" s="46">
        <f>Лист1!V127/1000</f>
        <v>0</v>
      </c>
      <c r="F12" s="2"/>
      <c r="G12" s="2"/>
      <c r="H12" s="3"/>
      <c r="I12" s="14" t="s">
        <v>73</v>
      </c>
      <c r="J12" s="65" t="s">
        <v>74</v>
      </c>
      <c r="K12" s="77">
        <f t="shared" si="0"/>
        <v>107.1</v>
      </c>
      <c r="L12" s="77">
        <f t="shared" si="1"/>
        <v>12.5</v>
      </c>
      <c r="M12" s="82">
        <f t="shared" si="2"/>
        <v>11.7</v>
      </c>
      <c r="N12" s="79">
        <v>120.2</v>
      </c>
      <c r="O12" s="78">
        <f t="shared" si="3"/>
        <v>1.1220000000000001</v>
      </c>
      <c r="P12" s="18">
        <f t="shared" si="4"/>
        <v>107.7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85</v>
      </c>
      <c r="B13" s="60" t="s">
        <v>98</v>
      </c>
      <c r="C13" s="45">
        <f>Лист1!F176/1000</f>
        <v>197.3</v>
      </c>
      <c r="D13" s="45">
        <f>Лист1!J176/1000</f>
        <v>123.7</v>
      </c>
      <c r="E13" s="46">
        <f>Лист1!V176/1000</f>
        <v>1E-3</v>
      </c>
      <c r="F13" s="2"/>
      <c r="G13" s="2"/>
      <c r="H13" s="3"/>
      <c r="I13" s="14" t="s">
        <v>85</v>
      </c>
      <c r="J13" s="65" t="s">
        <v>98</v>
      </c>
      <c r="K13" s="77">
        <f t="shared" si="0"/>
        <v>197.3</v>
      </c>
      <c r="L13" s="77">
        <f t="shared" si="1"/>
        <v>123.7</v>
      </c>
      <c r="M13" s="82">
        <f t="shared" si="2"/>
        <v>62.7</v>
      </c>
      <c r="N13" s="79">
        <v>145.1</v>
      </c>
      <c r="O13" s="78">
        <f t="shared" si="3"/>
        <v>0.73499999999999999</v>
      </c>
      <c r="P13" s="18">
        <f t="shared" si="4"/>
        <v>21.4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89</v>
      </c>
      <c r="B14" s="20" t="s">
        <v>90</v>
      </c>
      <c r="C14" s="45">
        <f>Лист1!F156/1000</f>
        <v>174.8</v>
      </c>
      <c r="D14" s="45">
        <f>Лист1!J156/1000</f>
        <v>56.3</v>
      </c>
      <c r="E14" s="46">
        <f>Лист1!V156/1000</f>
        <v>0</v>
      </c>
      <c r="F14" s="2"/>
      <c r="G14" s="2"/>
      <c r="H14" s="3"/>
      <c r="I14" s="14" t="s">
        <v>89</v>
      </c>
      <c r="J14" s="65" t="s">
        <v>90</v>
      </c>
      <c r="K14" s="77">
        <f t="shared" si="0"/>
        <v>174.8</v>
      </c>
      <c r="L14" s="77">
        <f t="shared" si="1"/>
        <v>56.3</v>
      </c>
      <c r="M14" s="82">
        <f t="shared" si="2"/>
        <v>32.200000000000003</v>
      </c>
      <c r="N14" s="79">
        <v>46</v>
      </c>
      <c r="O14" s="78">
        <f t="shared" si="3"/>
        <v>0.26300000000000001</v>
      </c>
      <c r="P14" s="18">
        <f t="shared" si="4"/>
        <v>-10.3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97</v>
      </c>
      <c r="B15" s="60" t="s">
        <v>61</v>
      </c>
      <c r="C15" s="45">
        <f>Лист1!F103/1000</f>
        <v>9.5</v>
      </c>
      <c r="D15" s="45">
        <f>Лист1!J103/1000</f>
        <v>4.2</v>
      </c>
      <c r="E15" s="46">
        <f>Лист1!V103/1000</f>
        <v>0</v>
      </c>
      <c r="F15" s="2"/>
      <c r="G15" s="2"/>
      <c r="I15" s="14" t="s">
        <v>97</v>
      </c>
      <c r="J15" s="65" t="s">
        <v>61</v>
      </c>
      <c r="K15" s="77">
        <f t="shared" si="0"/>
        <v>9.5</v>
      </c>
      <c r="L15" s="77">
        <f t="shared" si="1"/>
        <v>4.2</v>
      </c>
      <c r="M15" s="82">
        <f t="shared" si="2"/>
        <v>44.2</v>
      </c>
      <c r="N15" s="79">
        <v>4.3</v>
      </c>
      <c r="O15" s="78">
        <f t="shared" si="3"/>
        <v>0.45300000000000001</v>
      </c>
      <c r="P15" s="18">
        <f t="shared" si="4"/>
        <v>0.1</v>
      </c>
    </row>
    <row r="16" spans="1:88" s="66" customFormat="1" ht="49.5">
      <c r="A16" s="60">
        <v>10</v>
      </c>
      <c r="B16" s="60" t="s">
        <v>192</v>
      </c>
      <c r="C16" s="45">
        <f>Лист1!F199/1000</f>
        <v>4.5</v>
      </c>
      <c r="D16" s="45">
        <f>Лист1!J199/1000</f>
        <v>4.5</v>
      </c>
      <c r="E16" s="46">
        <f>Лист1!V199/1000</f>
        <v>1E-3</v>
      </c>
      <c r="F16" s="2"/>
      <c r="G16" s="2"/>
      <c r="H16" s="3"/>
      <c r="I16" s="14">
        <v>10</v>
      </c>
      <c r="J16" s="65" t="s">
        <v>192</v>
      </c>
      <c r="K16" s="77">
        <f t="shared" si="0"/>
        <v>4.5</v>
      </c>
      <c r="L16" s="77">
        <f t="shared" si="1"/>
        <v>4.5</v>
      </c>
      <c r="M16" s="82">
        <f t="shared" si="2"/>
        <v>100</v>
      </c>
      <c r="N16" s="79">
        <v>0</v>
      </c>
      <c r="O16" s="78">
        <f t="shared" si="3"/>
        <v>0</v>
      </c>
      <c r="P16" s="18">
        <f t="shared" si="4"/>
        <v>-4.5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244</v>
      </c>
      <c r="B17" s="60" t="s">
        <v>105</v>
      </c>
      <c r="C17" s="45">
        <f>Лист1!F194/1000</f>
        <v>18.2</v>
      </c>
      <c r="D17" s="45">
        <f>Лист1!J194/1000</f>
        <v>10.9</v>
      </c>
      <c r="E17" s="46">
        <f>Лист1!V194/1000</f>
        <v>1E-3</v>
      </c>
      <c r="F17" s="2"/>
      <c r="G17" s="2"/>
      <c r="H17" s="3"/>
      <c r="I17" s="14" t="s">
        <v>244</v>
      </c>
      <c r="J17" s="65" t="s">
        <v>105</v>
      </c>
      <c r="K17" s="77">
        <f t="shared" si="0"/>
        <v>18.2</v>
      </c>
      <c r="L17" s="77">
        <f t="shared" si="1"/>
        <v>10.9</v>
      </c>
      <c r="M17" s="82">
        <f t="shared" si="2"/>
        <v>59.9</v>
      </c>
      <c r="N17" s="79">
        <v>12.4</v>
      </c>
      <c r="O17" s="78">
        <f t="shared" si="3"/>
        <v>0.68100000000000005</v>
      </c>
      <c r="P17" s="18">
        <f t="shared" si="4"/>
        <v>1.5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customSheetViews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3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2022-08-09T05:05:25Z</dcterms:modified>
</cp:coreProperties>
</file>