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90" yWindow="-195" windowWidth="12810" windowHeight="12885"/>
  </bookViews>
  <sheets>
    <sheet name="Лист1" sheetId="1" r:id="rId1"/>
    <sheet name="Лист2" sheetId="2" r:id="rId2"/>
  </sheets>
  <definedNames>
    <definedName name="_xlnm._FilterDatabase" localSheetId="0" hidden="1">Лист1!$A$7:$V$216</definedName>
    <definedName name="Z_8DBC8541_9868_41A7_9A9F_A27FC80CBA37_.wvu.FilterData" localSheetId="0" hidden="1">Лист1!$E$12:$E$216</definedName>
    <definedName name="Z_8DBC8541_9868_41A7_9A9F_A27FC80CBA37_.wvu.PrintArea" localSheetId="0" hidden="1">Лист1!$A$1:$V$216</definedName>
    <definedName name="Z_8DBC8541_9868_41A7_9A9F_A27FC80CBA37_.wvu.PrintTitles" localSheetId="0" hidden="1">Лист1!$4:$7</definedName>
    <definedName name="Z_FE09AB06_1ECE_4486_BCA1_E9D85830708B_.wvu.FilterData" localSheetId="0" hidden="1">Лист1!$E$12:$E$216</definedName>
    <definedName name="Z_FE09AB06_1ECE_4486_BCA1_E9D85830708B_.wvu.PrintArea" localSheetId="0" hidden="1">Лист1!$A$1:$V$216</definedName>
    <definedName name="Z_FE09AB06_1ECE_4486_BCA1_E9D85830708B_.wvu.PrintTitles" localSheetId="0" hidden="1">Лист1!$4:$7</definedName>
    <definedName name="_xlnm.Print_Titles" localSheetId="0">Лист1!$4:$7</definedName>
    <definedName name="_xlnm.Print_Area" localSheetId="0">Лист1!$A$1:$V$216</definedName>
    <definedName name="_xlnm.Print_Area" localSheetId="1">Лист2!$A$1:$O$19</definedName>
  </definedNames>
  <calcPr calcId="125725" fullPrecision="0"/>
  <customWorkbookViews>
    <customWorkbookView name="gmp - Личное представление" guid="{8DBC8541-9868-41A7-9A9F-A27FC80CBA37}" mergeInterval="0" personalView="1" maximized="1" xWindow="1" yWindow="1" windowWidth="1916" windowHeight="845" activeSheetId="2"/>
    <customWorkbookView name="nma - Личное представление" guid="{FE09AB06-1ECE-4486-BCA1-E9D85830708B}" mergeInterval="0" personalView="1" maximized="1" xWindow="1" yWindow="1" windowWidth="1916" windowHeight="850" activeSheetId="1"/>
  </customWorkbookViews>
</workbook>
</file>

<file path=xl/calcChain.xml><?xml version="1.0" encoding="utf-8"?>
<calcChain xmlns="http://schemas.openxmlformats.org/spreadsheetml/2006/main">
  <c r="L150" i="1"/>
  <c r="H119"/>
  <c r="L136"/>
  <c r="H136"/>
  <c r="L154"/>
  <c r="L142"/>
  <c r="L141"/>
  <c r="L126"/>
  <c r="L123"/>
  <c r="H123"/>
  <c r="L131"/>
  <c r="H131"/>
  <c r="L17"/>
  <c r="H17"/>
  <c r="L38"/>
  <c r="H38"/>
  <c r="L41"/>
  <c r="L40"/>
  <c r="H40"/>
  <c r="L168"/>
  <c r="H168"/>
  <c r="L174"/>
  <c r="L175"/>
  <c r="L32"/>
  <c r="L33"/>
  <c r="H33"/>
  <c r="L78"/>
  <c r="L76"/>
  <c r="H78"/>
  <c r="H76"/>
  <c r="L85"/>
  <c r="H85"/>
  <c r="L84"/>
  <c r="H64"/>
  <c r="L64"/>
  <c r="L67"/>
  <c r="L63"/>
  <c r="H63"/>
  <c r="L27" l="1"/>
  <c r="L20"/>
  <c r="L26"/>
  <c r="H26"/>
  <c r="L54"/>
  <c r="L58"/>
  <c r="L51"/>
  <c r="L50"/>
  <c r="H191"/>
  <c r="L35"/>
  <c r="L187"/>
  <c r="H187"/>
  <c r="G160" l="1"/>
  <c r="K123"/>
  <c r="K84"/>
  <c r="K85" l="1"/>
  <c r="G85"/>
  <c r="K80"/>
  <c r="K78"/>
  <c r="G78"/>
  <c r="K51"/>
  <c r="K150"/>
  <c r="K113"/>
  <c r="K112"/>
  <c r="G119"/>
  <c r="K136"/>
  <c r="G136"/>
  <c r="K135"/>
  <c r="K160"/>
  <c r="K158"/>
  <c r="K157"/>
  <c r="G154"/>
  <c r="K154"/>
  <c r="K147"/>
  <c r="G147"/>
  <c r="K128"/>
  <c r="G128"/>
  <c r="G123"/>
  <c r="K131"/>
  <c r="G15"/>
  <c r="G13"/>
  <c r="K17"/>
  <c r="K39" l="1"/>
  <c r="G39"/>
  <c r="K41"/>
  <c r="K40"/>
  <c r="G40"/>
  <c r="K184"/>
  <c r="K183"/>
  <c r="G181"/>
  <c r="K172"/>
  <c r="K168"/>
  <c r="K32"/>
  <c r="K34"/>
  <c r="K33"/>
  <c r="K30"/>
  <c r="K93"/>
  <c r="K77"/>
  <c r="K76"/>
  <c r="G76"/>
  <c r="K86"/>
  <c r="K70"/>
  <c r="G70"/>
  <c r="G64"/>
  <c r="K64"/>
  <c r="K67"/>
  <c r="K68"/>
  <c r="K63"/>
  <c r="G63"/>
  <c r="K27"/>
  <c r="K20"/>
  <c r="K26"/>
  <c r="K24"/>
  <c r="K54"/>
  <c r="K59"/>
  <c r="K58"/>
  <c r="K45"/>
  <c r="G45"/>
  <c r="K195"/>
  <c r="G191"/>
  <c r="K35"/>
  <c r="K209"/>
  <c r="G209"/>
  <c r="K208"/>
  <c r="G208"/>
  <c r="K187"/>
  <c r="G187"/>
  <c r="K104"/>
  <c r="K188" l="1"/>
  <c r="K181"/>
  <c r="L72"/>
  <c r="L68"/>
  <c r="K72"/>
  <c r="K79"/>
  <c r="K94"/>
  <c r="L47"/>
  <c r="F40" l="1"/>
  <c r="J40"/>
  <c r="L25"/>
  <c r="K25"/>
  <c r="J15"/>
  <c r="G168"/>
  <c r="G89"/>
  <c r="G135"/>
  <c r="G164"/>
  <c r="R40"/>
  <c r="N40"/>
  <c r="L208"/>
  <c r="G36" l="1"/>
  <c r="V40"/>
  <c r="L140"/>
  <c r="L57" l="1"/>
  <c r="F174"/>
  <c r="J174"/>
  <c r="N174"/>
  <c r="R174"/>
  <c r="G77"/>
  <c r="F38" l="1"/>
  <c r="H36"/>
  <c r="V174"/>
  <c r="L79"/>
  <c r="L119"/>
  <c r="L182"/>
  <c r="H214"/>
  <c r="L188"/>
  <c r="K119"/>
  <c r="K182"/>
  <c r="G214"/>
  <c r="S154"/>
  <c r="O154"/>
  <c r="P102" l="1"/>
  <c r="Q102"/>
  <c r="O102"/>
  <c r="L102"/>
  <c r="M102"/>
  <c r="K102"/>
  <c r="H102"/>
  <c r="I102"/>
  <c r="G102"/>
  <c r="G104"/>
  <c r="F104" s="1"/>
  <c r="V104" s="1"/>
  <c r="J104"/>
  <c r="N104"/>
  <c r="R104"/>
  <c r="G105"/>
  <c r="K23" l="1"/>
  <c r="G124"/>
  <c r="G10" l="1"/>
  <c r="F14"/>
  <c r="J14"/>
  <c r="N14"/>
  <c r="R14"/>
  <c r="F66"/>
  <c r="J66"/>
  <c r="N66"/>
  <c r="R66"/>
  <c r="F67"/>
  <c r="J67"/>
  <c r="N67"/>
  <c r="R67"/>
  <c r="V14" l="1"/>
  <c r="V67"/>
  <c r="V66"/>
  <c r="G34"/>
  <c r="G33"/>
  <c r="G30"/>
  <c r="O69"/>
  <c r="G24"/>
  <c r="K19" i="2"/>
  <c r="K115" i="1" l="1"/>
  <c r="J34" l="1"/>
  <c r="K81"/>
  <c r="K21"/>
  <c r="G115"/>
  <c r="G95"/>
  <c r="G81"/>
  <c r="G65"/>
  <c r="R34"/>
  <c r="N34"/>
  <c r="I28" l="1"/>
  <c r="K95" l="1"/>
  <c r="K22"/>
  <c r="H201" l="1"/>
  <c r="H200"/>
  <c r="F172"/>
  <c r="J172"/>
  <c r="N172"/>
  <c r="R172"/>
  <c r="G169"/>
  <c r="S92"/>
  <c r="O92"/>
  <c r="G92"/>
  <c r="S96"/>
  <c r="O96"/>
  <c r="G96"/>
  <c r="F71"/>
  <c r="V71" s="1"/>
  <c r="J71"/>
  <c r="N71"/>
  <c r="R71"/>
  <c r="G201"/>
  <c r="G200"/>
  <c r="L46"/>
  <c r="K46"/>
  <c r="G192"/>
  <c r="H188"/>
  <c r="T194"/>
  <c r="P194"/>
  <c r="H194"/>
  <c r="T192"/>
  <c r="P192"/>
  <c r="H192"/>
  <c r="T193"/>
  <c r="T189" s="1"/>
  <c r="P193"/>
  <c r="H193"/>
  <c r="P126"/>
  <c r="H126"/>
  <c r="S194"/>
  <c r="O194"/>
  <c r="G194"/>
  <c r="S193"/>
  <c r="O193"/>
  <c r="G193"/>
  <c r="S192"/>
  <c r="O192"/>
  <c r="U189"/>
  <c r="Q189"/>
  <c r="L189"/>
  <c r="M189"/>
  <c r="K189"/>
  <c r="I189"/>
  <c r="F191"/>
  <c r="J191"/>
  <c r="N191"/>
  <c r="R191"/>
  <c r="G197"/>
  <c r="F198"/>
  <c r="J198"/>
  <c r="N198"/>
  <c r="R198"/>
  <c r="G188"/>
  <c r="O189" l="1"/>
  <c r="S189"/>
  <c r="P189"/>
  <c r="V172"/>
  <c r="V198"/>
  <c r="V191"/>
  <c r="H189"/>
  <c r="G20"/>
  <c r="K132" l="1"/>
  <c r="G54"/>
  <c r="H58"/>
  <c r="T132"/>
  <c r="U132"/>
  <c r="S132"/>
  <c r="P132"/>
  <c r="Q132"/>
  <c r="O132"/>
  <c r="L132"/>
  <c r="M132"/>
  <c r="H132"/>
  <c r="I132"/>
  <c r="G132"/>
  <c r="F135"/>
  <c r="J135"/>
  <c r="N135"/>
  <c r="R135"/>
  <c r="F132" l="1"/>
  <c r="V135"/>
  <c r="F31"/>
  <c r="J31"/>
  <c r="N31"/>
  <c r="R31"/>
  <c r="S114"/>
  <c r="O114"/>
  <c r="G114"/>
  <c r="R127"/>
  <c r="N127"/>
  <c r="J127"/>
  <c r="F127"/>
  <c r="M10"/>
  <c r="H10"/>
  <c r="R16"/>
  <c r="N16"/>
  <c r="J16"/>
  <c r="F16"/>
  <c r="U61"/>
  <c r="T61"/>
  <c r="Q61"/>
  <c r="P61"/>
  <c r="L61"/>
  <c r="M61"/>
  <c r="K61"/>
  <c r="I61"/>
  <c r="H61"/>
  <c r="G61"/>
  <c r="R73"/>
  <c r="N73"/>
  <c r="J73"/>
  <c r="F73"/>
  <c r="G58"/>
  <c r="S214"/>
  <c r="O214"/>
  <c r="G196"/>
  <c r="G189" s="1"/>
  <c r="F189" s="1"/>
  <c r="G204"/>
  <c r="H154"/>
  <c r="V16" l="1"/>
  <c r="V73"/>
  <c r="V127"/>
  <c r="H54"/>
  <c r="F72" l="1"/>
  <c r="J72"/>
  <c r="N72"/>
  <c r="R72"/>
  <c r="V72" l="1"/>
  <c r="G28" l="1"/>
  <c r="F34"/>
  <c r="G148" l="1"/>
  <c r="F147"/>
  <c r="F126"/>
  <c r="R214"/>
  <c r="R213"/>
  <c r="R209"/>
  <c r="R208"/>
  <c r="R204"/>
  <c r="R201"/>
  <c r="R200"/>
  <c r="R199"/>
  <c r="R197"/>
  <c r="R196"/>
  <c r="R195"/>
  <c r="R194"/>
  <c r="R193"/>
  <c r="R192"/>
  <c r="R188"/>
  <c r="R187"/>
  <c r="R183"/>
  <c r="R182"/>
  <c r="R181"/>
  <c r="R178"/>
  <c r="R175"/>
  <c r="R173"/>
  <c r="R171"/>
  <c r="R170"/>
  <c r="R169"/>
  <c r="R168"/>
  <c r="R164"/>
  <c r="R163"/>
  <c r="R160"/>
  <c r="R159"/>
  <c r="R158"/>
  <c r="R157"/>
  <c r="R154"/>
  <c r="R150"/>
  <c r="R147"/>
  <c r="R146"/>
  <c r="R142"/>
  <c r="R141"/>
  <c r="R140"/>
  <c r="R136"/>
  <c r="R134"/>
  <c r="R131"/>
  <c r="R128"/>
  <c r="R126"/>
  <c r="R123"/>
  <c r="R119"/>
  <c r="R118"/>
  <c r="R115"/>
  <c r="R114"/>
  <c r="R113"/>
  <c r="R112"/>
  <c r="R109"/>
  <c r="R108"/>
  <c r="R105"/>
  <c r="R101"/>
  <c r="R97"/>
  <c r="R96"/>
  <c r="R95"/>
  <c r="R94"/>
  <c r="R93"/>
  <c r="R92"/>
  <c r="R89"/>
  <c r="R88"/>
  <c r="R87"/>
  <c r="R86"/>
  <c r="R85"/>
  <c r="R84"/>
  <c r="R81"/>
  <c r="R80"/>
  <c r="R79"/>
  <c r="R78"/>
  <c r="R77"/>
  <c r="R76"/>
  <c r="R70"/>
  <c r="R69"/>
  <c r="R68"/>
  <c r="R65"/>
  <c r="R64"/>
  <c r="R63"/>
  <c r="R59"/>
  <c r="R58"/>
  <c r="R57"/>
  <c r="R54"/>
  <c r="R51"/>
  <c r="R50"/>
  <c r="R47"/>
  <c r="R46"/>
  <c r="R45"/>
  <c r="R41"/>
  <c r="R39"/>
  <c r="R38"/>
  <c r="R35"/>
  <c r="R33"/>
  <c r="R32"/>
  <c r="R30"/>
  <c r="R27"/>
  <c r="R26"/>
  <c r="R25"/>
  <c r="R24"/>
  <c r="R23"/>
  <c r="R22"/>
  <c r="R21"/>
  <c r="R20"/>
  <c r="R17"/>
  <c r="R15"/>
  <c r="R13"/>
  <c r="R12"/>
  <c r="U211"/>
  <c r="U210" s="1"/>
  <c r="U206"/>
  <c r="U205" s="1"/>
  <c r="U202"/>
  <c r="U185"/>
  <c r="U179"/>
  <c r="U176"/>
  <c r="U166"/>
  <c r="U161"/>
  <c r="U155"/>
  <c r="U152"/>
  <c r="U148"/>
  <c r="U144"/>
  <c r="U138"/>
  <c r="U129"/>
  <c r="U121"/>
  <c r="U116"/>
  <c r="U110"/>
  <c r="U106"/>
  <c r="U102"/>
  <c r="U99"/>
  <c r="U90"/>
  <c r="U82"/>
  <c r="U74"/>
  <c r="U55"/>
  <c r="U52"/>
  <c r="U48"/>
  <c r="U43"/>
  <c r="U36"/>
  <c r="U28"/>
  <c r="U18"/>
  <c r="U10"/>
  <c r="N12"/>
  <c r="N214"/>
  <c r="N213"/>
  <c r="N209"/>
  <c r="N208"/>
  <c r="N204"/>
  <c r="N201"/>
  <c r="N200"/>
  <c r="N199"/>
  <c r="N197"/>
  <c r="N196"/>
  <c r="N195"/>
  <c r="N194"/>
  <c r="N193"/>
  <c r="N192"/>
  <c r="N188"/>
  <c r="N187"/>
  <c r="N183"/>
  <c r="N182"/>
  <c r="N181"/>
  <c r="N178"/>
  <c r="N175"/>
  <c r="N173"/>
  <c r="N171"/>
  <c r="N170"/>
  <c r="N169"/>
  <c r="N168"/>
  <c r="N164"/>
  <c r="N163"/>
  <c r="N160"/>
  <c r="N159"/>
  <c r="N158"/>
  <c r="N157"/>
  <c r="N154"/>
  <c r="N150"/>
  <c r="N147"/>
  <c r="N146"/>
  <c r="N142"/>
  <c r="N141"/>
  <c r="N140"/>
  <c r="N136"/>
  <c r="N134"/>
  <c r="N131"/>
  <c r="N128"/>
  <c r="N126"/>
  <c r="N123"/>
  <c r="N119"/>
  <c r="N118"/>
  <c r="N115"/>
  <c r="N114"/>
  <c r="N113"/>
  <c r="N112"/>
  <c r="N109"/>
  <c r="N108"/>
  <c r="N105"/>
  <c r="N101"/>
  <c r="N97"/>
  <c r="N96"/>
  <c r="N95"/>
  <c r="N94"/>
  <c r="N93"/>
  <c r="N92"/>
  <c r="N89"/>
  <c r="N88"/>
  <c r="N87"/>
  <c r="N86"/>
  <c r="N85"/>
  <c r="N84"/>
  <c r="N81"/>
  <c r="N80"/>
  <c r="N79"/>
  <c r="N78"/>
  <c r="N77"/>
  <c r="N76"/>
  <c r="N70"/>
  <c r="N69"/>
  <c r="N68"/>
  <c r="N65"/>
  <c r="N64"/>
  <c r="N63"/>
  <c r="N59"/>
  <c r="N58"/>
  <c r="N57"/>
  <c r="N54"/>
  <c r="N51"/>
  <c r="N50"/>
  <c r="N47"/>
  <c r="N46"/>
  <c r="N45"/>
  <c r="N41"/>
  <c r="N39"/>
  <c r="N38"/>
  <c r="N35"/>
  <c r="N33"/>
  <c r="N32"/>
  <c r="N30"/>
  <c r="N27"/>
  <c r="N26"/>
  <c r="N25"/>
  <c r="N24"/>
  <c r="N23"/>
  <c r="N22"/>
  <c r="N21"/>
  <c r="N20"/>
  <c r="N17"/>
  <c r="N15"/>
  <c r="N13"/>
  <c r="Q211"/>
  <c r="Q210" s="1"/>
  <c r="Q206"/>
  <c r="Q205" s="1"/>
  <c r="Q202"/>
  <c r="Q185"/>
  <c r="Q179"/>
  <c r="Q176"/>
  <c r="Q166"/>
  <c r="Q161"/>
  <c r="Q155"/>
  <c r="Q152"/>
  <c r="Q148"/>
  <c r="Q144"/>
  <c r="Q138"/>
  <c r="Q129"/>
  <c r="Q121"/>
  <c r="Q116"/>
  <c r="Q110"/>
  <c r="Q106"/>
  <c r="Q99"/>
  <c r="Q90"/>
  <c r="Q82"/>
  <c r="Q74"/>
  <c r="Q55"/>
  <c r="Q52"/>
  <c r="Q48"/>
  <c r="Q43"/>
  <c r="Q36"/>
  <c r="Q28"/>
  <c r="Q18"/>
  <c r="Q10"/>
  <c r="J214"/>
  <c r="J213"/>
  <c r="M211"/>
  <c r="M210" s="1"/>
  <c r="L211"/>
  <c r="L210" s="1"/>
  <c r="K211"/>
  <c r="K210" s="1"/>
  <c r="J209"/>
  <c r="J208"/>
  <c r="M206"/>
  <c r="M205" s="1"/>
  <c r="L206"/>
  <c r="L205" s="1"/>
  <c r="K206"/>
  <c r="K205" s="1"/>
  <c r="J204"/>
  <c r="M202"/>
  <c r="L202"/>
  <c r="K202"/>
  <c r="J201"/>
  <c r="J200"/>
  <c r="J199"/>
  <c r="J197"/>
  <c r="J196"/>
  <c r="J195"/>
  <c r="J194"/>
  <c r="J193"/>
  <c r="J192"/>
  <c r="J188"/>
  <c r="J187"/>
  <c r="M185"/>
  <c r="L185"/>
  <c r="K185"/>
  <c r="J183"/>
  <c r="J182"/>
  <c r="J181"/>
  <c r="M179"/>
  <c r="L179"/>
  <c r="K179"/>
  <c r="J178"/>
  <c r="M176"/>
  <c r="L176"/>
  <c r="K176"/>
  <c r="J175"/>
  <c r="J173"/>
  <c r="J171"/>
  <c r="J170"/>
  <c r="J169"/>
  <c r="J168"/>
  <c r="M166"/>
  <c r="L166"/>
  <c r="K166"/>
  <c r="J164"/>
  <c r="J163"/>
  <c r="M161"/>
  <c r="L161"/>
  <c r="K161"/>
  <c r="J160"/>
  <c r="J159"/>
  <c r="J158"/>
  <c r="J157"/>
  <c r="M155"/>
  <c r="L155"/>
  <c r="K155"/>
  <c r="J154"/>
  <c r="M152"/>
  <c r="L152"/>
  <c r="K152"/>
  <c r="J150"/>
  <c r="M148"/>
  <c r="L148"/>
  <c r="K148"/>
  <c r="J147"/>
  <c r="J146"/>
  <c r="M144"/>
  <c r="L144"/>
  <c r="K144"/>
  <c r="J142"/>
  <c r="J141"/>
  <c r="J140"/>
  <c r="M138"/>
  <c r="L138"/>
  <c r="K138"/>
  <c r="J136"/>
  <c r="J134"/>
  <c r="J131"/>
  <c r="M129"/>
  <c r="L129"/>
  <c r="K129"/>
  <c r="J128"/>
  <c r="J126"/>
  <c r="L124"/>
  <c r="K124"/>
  <c r="J123"/>
  <c r="M121"/>
  <c r="L121"/>
  <c r="K121"/>
  <c r="J119"/>
  <c r="J118"/>
  <c r="M116"/>
  <c r="L116"/>
  <c r="K116"/>
  <c r="J115"/>
  <c r="J114"/>
  <c r="J113"/>
  <c r="J112"/>
  <c r="M110"/>
  <c r="L110"/>
  <c r="K110"/>
  <c r="J109"/>
  <c r="J108"/>
  <c r="M106"/>
  <c r="L106"/>
  <c r="K106"/>
  <c r="J105"/>
  <c r="J101"/>
  <c r="M99"/>
  <c r="L99"/>
  <c r="K99"/>
  <c r="J97"/>
  <c r="J96"/>
  <c r="J95"/>
  <c r="J94"/>
  <c r="J93"/>
  <c r="J92"/>
  <c r="M90"/>
  <c r="L90"/>
  <c r="K90"/>
  <c r="J89"/>
  <c r="J88"/>
  <c r="J87"/>
  <c r="J86"/>
  <c r="J85"/>
  <c r="J84"/>
  <c r="M82"/>
  <c r="L82"/>
  <c r="K82"/>
  <c r="J81"/>
  <c r="J80"/>
  <c r="J79"/>
  <c r="J78"/>
  <c r="J77"/>
  <c r="J76"/>
  <c r="M74"/>
  <c r="L74"/>
  <c r="K74"/>
  <c r="J70"/>
  <c r="J69"/>
  <c r="J68"/>
  <c r="J65"/>
  <c r="J64"/>
  <c r="J63"/>
  <c r="J59"/>
  <c r="J58"/>
  <c r="J57"/>
  <c r="M55"/>
  <c r="L55"/>
  <c r="K55"/>
  <c r="J54"/>
  <c r="M52"/>
  <c r="L52"/>
  <c r="K52"/>
  <c r="J51"/>
  <c r="J50"/>
  <c r="M48"/>
  <c r="L48"/>
  <c r="K48"/>
  <c r="J47"/>
  <c r="J46"/>
  <c r="J45"/>
  <c r="M43"/>
  <c r="L43"/>
  <c r="K43"/>
  <c r="J41"/>
  <c r="J39"/>
  <c r="J38"/>
  <c r="M36"/>
  <c r="L36"/>
  <c r="K36"/>
  <c r="J35"/>
  <c r="J33"/>
  <c r="J32"/>
  <c r="J30"/>
  <c r="M28"/>
  <c r="L28"/>
  <c r="K28"/>
  <c r="J27"/>
  <c r="J26"/>
  <c r="J25"/>
  <c r="J24"/>
  <c r="J23"/>
  <c r="J22"/>
  <c r="J21"/>
  <c r="J20"/>
  <c r="M18"/>
  <c r="L18"/>
  <c r="K18"/>
  <c r="J17"/>
  <c r="J13"/>
  <c r="J12"/>
  <c r="L10"/>
  <c r="K10"/>
  <c r="F12"/>
  <c r="F13"/>
  <c r="F15"/>
  <c r="F17"/>
  <c r="F20"/>
  <c r="F21"/>
  <c r="F22"/>
  <c r="F23"/>
  <c r="F24"/>
  <c r="F25"/>
  <c r="F26"/>
  <c r="F27"/>
  <c r="F30"/>
  <c r="F32"/>
  <c r="F33"/>
  <c r="F35"/>
  <c r="F39"/>
  <c r="F41"/>
  <c r="F45"/>
  <c r="F46"/>
  <c r="F47"/>
  <c r="F50"/>
  <c r="F51"/>
  <c r="F54"/>
  <c r="F57"/>
  <c r="F58"/>
  <c r="F59"/>
  <c r="F63"/>
  <c r="F64"/>
  <c r="F65"/>
  <c r="F68"/>
  <c r="F69"/>
  <c r="F70"/>
  <c r="F76"/>
  <c r="F77"/>
  <c r="F78"/>
  <c r="F79"/>
  <c r="F80"/>
  <c r="F81"/>
  <c r="F84"/>
  <c r="F85"/>
  <c r="F86"/>
  <c r="F87"/>
  <c r="F88"/>
  <c r="F89"/>
  <c r="F92"/>
  <c r="F93"/>
  <c r="F94"/>
  <c r="F95"/>
  <c r="F96"/>
  <c r="F97"/>
  <c r="F101"/>
  <c r="F105"/>
  <c r="F108"/>
  <c r="F109"/>
  <c r="F112"/>
  <c r="F113"/>
  <c r="F114"/>
  <c r="F115"/>
  <c r="F118"/>
  <c r="F119"/>
  <c r="F123"/>
  <c r="F128"/>
  <c r="F131"/>
  <c r="F134"/>
  <c r="F136"/>
  <c r="F140"/>
  <c r="F141"/>
  <c r="F142"/>
  <c r="F146"/>
  <c r="F150"/>
  <c r="F154"/>
  <c r="F157"/>
  <c r="F158"/>
  <c r="F159"/>
  <c r="F160"/>
  <c r="F163"/>
  <c r="F164"/>
  <c r="F168"/>
  <c r="F169"/>
  <c r="F170"/>
  <c r="F171"/>
  <c r="F173"/>
  <c r="F175"/>
  <c r="F178"/>
  <c r="F181"/>
  <c r="F182"/>
  <c r="F183"/>
  <c r="F187"/>
  <c r="F188"/>
  <c r="F192"/>
  <c r="F193"/>
  <c r="F194"/>
  <c r="F195"/>
  <c r="F196"/>
  <c r="F197"/>
  <c r="F199"/>
  <c r="F200"/>
  <c r="F201"/>
  <c r="F204"/>
  <c r="F208"/>
  <c r="F209"/>
  <c r="F213"/>
  <c r="F214"/>
  <c r="I211"/>
  <c r="I210" s="1"/>
  <c r="I206"/>
  <c r="I205" s="1"/>
  <c r="I202"/>
  <c r="I185"/>
  <c r="I179"/>
  <c r="I176"/>
  <c r="I166"/>
  <c r="I161"/>
  <c r="I155"/>
  <c r="I152"/>
  <c r="I148"/>
  <c r="I144"/>
  <c r="I138"/>
  <c r="I129"/>
  <c r="I121"/>
  <c r="I116"/>
  <c r="I110"/>
  <c r="I106"/>
  <c r="I99"/>
  <c r="I90"/>
  <c r="I82"/>
  <c r="I74"/>
  <c r="I55"/>
  <c r="I52"/>
  <c r="I48"/>
  <c r="I43"/>
  <c r="I36"/>
  <c r="I18"/>
  <c r="I10"/>
  <c r="F10" s="1"/>
  <c r="Q9" l="1"/>
  <c r="R61"/>
  <c r="V68"/>
  <c r="K60"/>
  <c r="I9"/>
  <c r="K137"/>
  <c r="I184"/>
  <c r="Q60"/>
  <c r="Q137"/>
  <c r="Q184"/>
  <c r="M137"/>
  <c r="M184"/>
  <c r="L184"/>
  <c r="U184"/>
  <c r="U137"/>
  <c r="I137"/>
  <c r="L137"/>
  <c r="L60"/>
  <c r="U60"/>
  <c r="M60"/>
  <c r="I60"/>
  <c r="I42"/>
  <c r="L42"/>
  <c r="K42"/>
  <c r="U42"/>
  <c r="Q42"/>
  <c r="M42"/>
  <c r="L9"/>
  <c r="M9"/>
  <c r="K9"/>
  <c r="U9"/>
  <c r="V157"/>
  <c r="V114"/>
  <c r="V112"/>
  <c r="V175"/>
  <c r="V15"/>
  <c r="V81"/>
  <c r="V79"/>
  <c r="V154"/>
  <c r="V160"/>
  <c r="V147"/>
  <c r="V57"/>
  <c r="V47"/>
  <c r="V45"/>
  <c r="V30"/>
  <c r="V22"/>
  <c r="V27"/>
  <c r="V46"/>
  <c r="V51"/>
  <c r="V58"/>
  <c r="V93"/>
  <c r="V101"/>
  <c r="V119"/>
  <c r="V123"/>
  <c r="V141"/>
  <c r="V95"/>
  <c r="V13"/>
  <c r="V59"/>
  <c r="V63"/>
  <c r="V70"/>
  <c r="V77"/>
  <c r="V80"/>
  <c r="V94"/>
  <c r="V115"/>
  <c r="V142"/>
  <c r="V158"/>
  <c r="V164"/>
  <c r="V178"/>
  <c r="V181"/>
  <c r="V200"/>
  <c r="U165"/>
  <c r="V54"/>
  <c r="V78"/>
  <c r="V33"/>
  <c r="V35"/>
  <c r="V168"/>
  <c r="V208"/>
  <c r="I98"/>
  <c r="V126"/>
  <c r="V39"/>
  <c r="V12"/>
  <c r="V17"/>
  <c r="V38"/>
  <c r="V76"/>
  <c r="V85"/>
  <c r="V88"/>
  <c r="V183"/>
  <c r="V187"/>
  <c r="V86"/>
  <c r="V21"/>
  <c r="V24"/>
  <c r="V26"/>
  <c r="V32"/>
  <c r="V50"/>
  <c r="V65"/>
  <c r="V84"/>
  <c r="V87"/>
  <c r="L98"/>
  <c r="J106"/>
  <c r="V136"/>
  <c r="V140"/>
  <c r="V150"/>
  <c r="V195"/>
  <c r="V20"/>
  <c r="V23"/>
  <c r="V25"/>
  <c r="V41"/>
  <c r="V64"/>
  <c r="V89"/>
  <c r="V113"/>
  <c r="V128"/>
  <c r="V131"/>
  <c r="V134"/>
  <c r="M151"/>
  <c r="V159"/>
  <c r="V182"/>
  <c r="V188"/>
  <c r="V196"/>
  <c r="V201"/>
  <c r="V204"/>
  <c r="V209"/>
  <c r="V214"/>
  <c r="U151"/>
  <c r="M98"/>
  <c r="U98"/>
  <c r="J202"/>
  <c r="J211"/>
  <c r="U120"/>
  <c r="J90"/>
  <c r="Q151"/>
  <c r="J121"/>
  <c r="M120"/>
  <c r="Q165"/>
  <c r="M165"/>
  <c r="J102"/>
  <c r="J110"/>
  <c r="J148"/>
  <c r="J179"/>
  <c r="I151"/>
  <c r="J28"/>
  <c r="J99"/>
  <c r="J129"/>
  <c r="J144"/>
  <c r="Q120"/>
  <c r="J55"/>
  <c r="L151"/>
  <c r="J161"/>
  <c r="Q98"/>
  <c r="J189"/>
  <c r="L165"/>
  <c r="J176"/>
  <c r="J166"/>
  <c r="K151"/>
  <c r="J152"/>
  <c r="J138"/>
  <c r="J132"/>
  <c r="L120"/>
  <c r="K120"/>
  <c r="J116"/>
  <c r="J82"/>
  <c r="J74"/>
  <c r="J61"/>
  <c r="J52"/>
  <c r="J48"/>
  <c r="J43"/>
  <c r="J36"/>
  <c r="J18"/>
  <c r="J10"/>
  <c r="J155"/>
  <c r="K165"/>
  <c r="J185"/>
  <c r="J206"/>
  <c r="K98"/>
  <c r="J124"/>
  <c r="I165"/>
  <c r="I120"/>
  <c r="J184" l="1"/>
  <c r="D13" i="2" s="1"/>
  <c r="L13" s="1"/>
  <c r="J151" i="1"/>
  <c r="J205"/>
  <c r="D17" i="2" s="1"/>
  <c r="L17" s="1"/>
  <c r="M8" i="1"/>
  <c r="J98"/>
  <c r="D15" i="2" s="1"/>
  <c r="L15" s="1"/>
  <c r="P15" s="1"/>
  <c r="J120" i="1"/>
  <c r="J210"/>
  <c r="D16" i="2" s="1"/>
  <c r="L16" s="1"/>
  <c r="P16" s="1"/>
  <c r="U8" i="1"/>
  <c r="Q8"/>
  <c r="J165"/>
  <c r="D14" i="2" s="1"/>
  <c r="L14" s="1"/>
  <c r="P14" s="1"/>
  <c r="J137" i="1"/>
  <c r="J60"/>
  <c r="D11" i="2" s="1"/>
  <c r="L11" s="1"/>
  <c r="P11" s="1"/>
  <c r="L8" i="1"/>
  <c r="J42"/>
  <c r="D9" i="2" s="1"/>
  <c r="L9" s="1"/>
  <c r="J9" i="1"/>
  <c r="D8" i="2" s="1"/>
  <c r="L8" s="1"/>
  <c r="P8" s="1"/>
  <c r="K8" i="1"/>
  <c r="I8"/>
  <c r="D12" i="2" l="1"/>
  <c r="L12" s="1"/>
  <c r="P12" s="1"/>
  <c r="D10"/>
  <c r="L10" s="1"/>
  <c r="P10" s="1"/>
  <c r="D7"/>
  <c r="L7" s="1"/>
  <c r="P7" s="1"/>
  <c r="P13"/>
  <c r="P9"/>
  <c r="P17"/>
  <c r="J8" i="1"/>
  <c r="D6" i="2" l="1"/>
  <c r="L6" s="1"/>
  <c r="P6" s="1"/>
  <c r="G144" i="1"/>
  <c r="H144"/>
  <c r="O144"/>
  <c r="P144"/>
  <c r="S144"/>
  <c r="T144"/>
  <c r="G116"/>
  <c r="H116"/>
  <c r="O116"/>
  <c r="P116"/>
  <c r="S116"/>
  <c r="T116"/>
  <c r="G129"/>
  <c r="H129"/>
  <c r="O129"/>
  <c r="P129"/>
  <c r="S129"/>
  <c r="T129"/>
  <c r="G202"/>
  <c r="H202"/>
  <c r="O202"/>
  <c r="P202"/>
  <c r="S202"/>
  <c r="T202"/>
  <c r="T211"/>
  <c r="T210" s="1"/>
  <c r="S211"/>
  <c r="S210" s="1"/>
  <c r="T206"/>
  <c r="T205" s="1"/>
  <c r="S206"/>
  <c r="S205" s="1"/>
  <c r="T185"/>
  <c r="S185"/>
  <c r="T179"/>
  <c r="S179"/>
  <c r="T176"/>
  <c r="S176"/>
  <c r="T166"/>
  <c r="S166"/>
  <c r="T161"/>
  <c r="S161"/>
  <c r="T155"/>
  <c r="S155"/>
  <c r="T152"/>
  <c r="S152"/>
  <c r="T148"/>
  <c r="S148"/>
  <c r="T138"/>
  <c r="S138"/>
  <c r="T124"/>
  <c r="S124"/>
  <c r="T121"/>
  <c r="S121"/>
  <c r="T110"/>
  <c r="S110"/>
  <c r="T106"/>
  <c r="S106"/>
  <c r="T102"/>
  <c r="S102"/>
  <c r="T99"/>
  <c r="S99"/>
  <c r="T90"/>
  <c r="S90"/>
  <c r="T82"/>
  <c r="S82"/>
  <c r="T74"/>
  <c r="S74"/>
  <c r="S61"/>
  <c r="T55"/>
  <c r="S55"/>
  <c r="T52"/>
  <c r="S52"/>
  <c r="T48"/>
  <c r="S48"/>
  <c r="T43"/>
  <c r="S43"/>
  <c r="T36"/>
  <c r="S36"/>
  <c r="T28"/>
  <c r="S28"/>
  <c r="T18"/>
  <c r="S18"/>
  <c r="T10"/>
  <c r="S10"/>
  <c r="P211"/>
  <c r="P210" s="1"/>
  <c r="O211"/>
  <c r="O210" s="1"/>
  <c r="P206"/>
  <c r="P205" s="1"/>
  <c r="O206"/>
  <c r="O205" s="1"/>
  <c r="P185"/>
  <c r="O185"/>
  <c r="P179"/>
  <c r="O179"/>
  <c r="P176"/>
  <c r="O176"/>
  <c r="P166"/>
  <c r="O166"/>
  <c r="P161"/>
  <c r="O161"/>
  <c r="P155"/>
  <c r="O155"/>
  <c r="P152"/>
  <c r="O152"/>
  <c r="P148"/>
  <c r="O148"/>
  <c r="P138"/>
  <c r="O138"/>
  <c r="P124"/>
  <c r="O124"/>
  <c r="P121"/>
  <c r="O121"/>
  <c r="P110"/>
  <c r="O110"/>
  <c r="P106"/>
  <c r="O106"/>
  <c r="P99"/>
  <c r="O99"/>
  <c r="P90"/>
  <c r="O90"/>
  <c r="P82"/>
  <c r="O82"/>
  <c r="P74"/>
  <c r="O74"/>
  <c r="O61"/>
  <c r="P55"/>
  <c r="O55"/>
  <c r="P52"/>
  <c r="O52"/>
  <c r="P48"/>
  <c r="O48"/>
  <c r="P43"/>
  <c r="O43"/>
  <c r="P36"/>
  <c r="O36"/>
  <c r="P28"/>
  <c r="O28"/>
  <c r="P18"/>
  <c r="O18"/>
  <c r="P10"/>
  <c r="O10"/>
  <c r="H211"/>
  <c r="H210" s="1"/>
  <c r="G211"/>
  <c r="G210" s="1"/>
  <c r="G206"/>
  <c r="G205" s="1"/>
  <c r="H185"/>
  <c r="G185"/>
  <c r="G179"/>
  <c r="H179"/>
  <c r="H176"/>
  <c r="G176"/>
  <c r="H166"/>
  <c r="H161"/>
  <c r="G161"/>
  <c r="H155"/>
  <c r="H152"/>
  <c r="G152"/>
  <c r="H148"/>
  <c r="H138"/>
  <c r="G138"/>
  <c r="H124"/>
  <c r="F124" s="1"/>
  <c r="G121"/>
  <c r="H121"/>
  <c r="H110"/>
  <c r="H106"/>
  <c r="H99"/>
  <c r="G90"/>
  <c r="H90"/>
  <c r="H82"/>
  <c r="G74"/>
  <c r="H74"/>
  <c r="H52"/>
  <c r="G52"/>
  <c r="G48"/>
  <c r="H43"/>
  <c r="H18"/>
  <c r="P9" l="1"/>
  <c r="R144"/>
  <c r="G137"/>
  <c r="O137"/>
  <c r="O184"/>
  <c r="O60"/>
  <c r="G184"/>
  <c r="H184"/>
  <c r="P60"/>
  <c r="P137"/>
  <c r="P184"/>
  <c r="H137"/>
  <c r="T60"/>
  <c r="T137"/>
  <c r="T184"/>
  <c r="S60"/>
  <c r="S137"/>
  <c r="S184"/>
  <c r="O9"/>
  <c r="O42"/>
  <c r="S42"/>
  <c r="P42"/>
  <c r="T42"/>
  <c r="T9"/>
  <c r="S9"/>
  <c r="R202"/>
  <c r="R18"/>
  <c r="R36"/>
  <c r="R43"/>
  <c r="R55"/>
  <c r="R74"/>
  <c r="R90"/>
  <c r="R99"/>
  <c r="R106"/>
  <c r="R121"/>
  <c r="R138"/>
  <c r="R152"/>
  <c r="R176"/>
  <c r="R185"/>
  <c r="R206"/>
  <c r="R10"/>
  <c r="R28"/>
  <c r="R48"/>
  <c r="R52"/>
  <c r="R82"/>
  <c r="R102"/>
  <c r="R110"/>
  <c r="R124"/>
  <c r="R148"/>
  <c r="R155"/>
  <c r="R166"/>
  <c r="R179"/>
  <c r="R189"/>
  <c r="R132"/>
  <c r="R161"/>
  <c r="R129"/>
  <c r="R211"/>
  <c r="R116"/>
  <c r="N124"/>
  <c r="F202"/>
  <c r="V202" s="1"/>
  <c r="N129"/>
  <c r="N132"/>
  <c r="N116"/>
  <c r="N144"/>
  <c r="N211"/>
  <c r="N18"/>
  <c r="N36"/>
  <c r="N43"/>
  <c r="N55"/>
  <c r="N74"/>
  <c r="N90"/>
  <c r="N99"/>
  <c r="N106"/>
  <c r="N121"/>
  <c r="N138"/>
  <c r="N152"/>
  <c r="N161"/>
  <c r="N176"/>
  <c r="N185"/>
  <c r="N206"/>
  <c r="N10"/>
  <c r="N28"/>
  <c r="N48"/>
  <c r="N52"/>
  <c r="N61"/>
  <c r="N82"/>
  <c r="N102"/>
  <c r="N110"/>
  <c r="N148"/>
  <c r="N155"/>
  <c r="N166"/>
  <c r="N179"/>
  <c r="N189"/>
  <c r="N202"/>
  <c r="F129"/>
  <c r="V129" s="1"/>
  <c r="V132"/>
  <c r="F116"/>
  <c r="V116" s="1"/>
  <c r="F144"/>
  <c r="V144" s="1"/>
  <c r="F90"/>
  <c r="V90" s="1"/>
  <c r="F121"/>
  <c r="V121" s="1"/>
  <c r="F152"/>
  <c r="V152" s="1"/>
  <c r="V189"/>
  <c r="F211"/>
  <c r="V211" s="1"/>
  <c r="F52"/>
  <c r="V52" s="1"/>
  <c r="F138"/>
  <c r="V138" s="1"/>
  <c r="F148"/>
  <c r="V148" s="1"/>
  <c r="F176"/>
  <c r="V176" s="1"/>
  <c r="F185"/>
  <c r="F161"/>
  <c r="V161" s="1"/>
  <c r="F74"/>
  <c r="V74" s="1"/>
  <c r="F179"/>
  <c r="V179" s="1"/>
  <c r="T120"/>
  <c r="P120"/>
  <c r="P151"/>
  <c r="T165"/>
  <c r="O120"/>
  <c r="S120"/>
  <c r="T151"/>
  <c r="H120"/>
  <c r="P165"/>
  <c r="H151"/>
  <c r="T98"/>
  <c r="P98"/>
  <c r="H165"/>
  <c r="S151"/>
  <c r="O165"/>
  <c r="S98"/>
  <c r="S165"/>
  <c r="O98"/>
  <c r="O151"/>
  <c r="G43"/>
  <c r="G166"/>
  <c r="F36"/>
  <c r="V36" s="1"/>
  <c r="G155"/>
  <c r="H28"/>
  <c r="F28" s="1"/>
  <c r="V28" s="1"/>
  <c r="H48"/>
  <c r="F48" s="1"/>
  <c r="V48" s="1"/>
  <c r="G110"/>
  <c r="F110" s="1"/>
  <c r="V110" s="1"/>
  <c r="G18"/>
  <c r="F18" s="1"/>
  <c r="V18" s="1"/>
  <c r="H60"/>
  <c r="H98"/>
  <c r="G99"/>
  <c r="F99" s="1"/>
  <c r="V99" s="1"/>
  <c r="G106"/>
  <c r="F106" s="1"/>
  <c r="F102"/>
  <c r="V102" s="1"/>
  <c r="H206"/>
  <c r="H205" s="1"/>
  <c r="H55"/>
  <c r="G55"/>
  <c r="G82"/>
  <c r="F82" s="1"/>
  <c r="V82" s="1"/>
  <c r="G60" l="1"/>
  <c r="F60" s="1"/>
  <c r="V185"/>
  <c r="F184"/>
  <c r="H42"/>
  <c r="F43"/>
  <c r="V43" s="1"/>
  <c r="G42"/>
  <c r="N137"/>
  <c r="H9"/>
  <c r="G9"/>
  <c r="R120"/>
  <c r="R184"/>
  <c r="R9"/>
  <c r="R165"/>
  <c r="R210"/>
  <c r="R205"/>
  <c r="R137"/>
  <c r="R60"/>
  <c r="N184"/>
  <c r="N120"/>
  <c r="N98"/>
  <c r="N9"/>
  <c r="R98"/>
  <c r="R151"/>
  <c r="N210"/>
  <c r="N165"/>
  <c r="R42"/>
  <c r="N151"/>
  <c r="G120"/>
  <c r="F120" s="1"/>
  <c r="V124"/>
  <c r="N42"/>
  <c r="N205"/>
  <c r="N60"/>
  <c r="F61"/>
  <c r="V61" s="1"/>
  <c r="G165"/>
  <c r="F165" s="1"/>
  <c r="F166"/>
  <c r="V166" s="1"/>
  <c r="F205"/>
  <c r="F55"/>
  <c r="V55" s="1"/>
  <c r="F210"/>
  <c r="G151"/>
  <c r="F151" s="1"/>
  <c r="F155"/>
  <c r="V155" s="1"/>
  <c r="F137"/>
  <c r="V10"/>
  <c r="F206"/>
  <c r="V206" s="1"/>
  <c r="T8"/>
  <c r="P8"/>
  <c r="O8"/>
  <c r="S8"/>
  <c r="G98"/>
  <c r="F98" s="1"/>
  <c r="V98" l="1"/>
  <c r="E15" i="2" s="1"/>
  <c r="C15"/>
  <c r="K15" s="1"/>
  <c r="V205" i="1"/>
  <c r="E17" i="2" s="1"/>
  <c r="C17"/>
  <c r="K17" s="1"/>
  <c r="V60" i="1"/>
  <c r="E11" i="2" s="1"/>
  <c r="C11"/>
  <c r="K11" s="1"/>
  <c r="V210" i="1"/>
  <c r="E16" i="2" s="1"/>
  <c r="C16"/>
  <c r="K16" s="1"/>
  <c r="V165" i="1"/>
  <c r="E14" i="2" s="1"/>
  <c r="C14"/>
  <c r="K14" s="1"/>
  <c r="N8" i="1"/>
  <c r="V120"/>
  <c r="E10" i="2" s="1"/>
  <c r="C10"/>
  <c r="K10" s="1"/>
  <c r="V137" i="1"/>
  <c r="E12" i="2" s="1"/>
  <c r="C12"/>
  <c r="K12" s="1"/>
  <c r="V151" i="1"/>
  <c r="E7" i="2" s="1"/>
  <c r="C7"/>
  <c r="K7" s="1"/>
  <c r="V184" i="1"/>
  <c r="E13" i="2" s="1"/>
  <c r="C13"/>
  <c r="K13" s="1"/>
  <c r="R8" i="1"/>
  <c r="F42"/>
  <c r="F9"/>
  <c r="H8"/>
  <c r="G8"/>
  <c r="V42" l="1"/>
  <c r="E9" i="2" s="1"/>
  <c r="C9"/>
  <c r="K9" s="1"/>
  <c r="M7"/>
  <c r="O7"/>
  <c r="M10"/>
  <c r="O10"/>
  <c r="V9" i="1"/>
  <c r="E8" i="2" s="1"/>
  <c r="C8"/>
  <c r="K8" s="1"/>
  <c r="M14"/>
  <c r="O14"/>
  <c r="M11"/>
  <c r="O11"/>
  <c r="M15"/>
  <c r="O15"/>
  <c r="O13"/>
  <c r="M13"/>
  <c r="M12"/>
  <c r="O12"/>
  <c r="M16"/>
  <c r="O16"/>
  <c r="O17"/>
  <c r="M17"/>
  <c r="F8" i="1"/>
  <c r="C6" i="2" s="1"/>
  <c r="K6" s="1"/>
  <c r="O9" l="1"/>
  <c r="M9"/>
  <c r="M6"/>
  <c r="O6"/>
  <c r="M8"/>
  <c r="O8"/>
  <c r="V8" i="1"/>
  <c r="E6" i="2" s="1"/>
</calcChain>
</file>

<file path=xl/sharedStrings.xml><?xml version="1.0" encoding="utf-8"?>
<sst xmlns="http://schemas.openxmlformats.org/spreadsheetml/2006/main" count="731" uniqueCount="371">
  <si>
    <t>№        п/п</t>
  </si>
  <si>
    <t>Наименование</t>
  </si>
  <si>
    <t>Код ГРБС</t>
  </si>
  <si>
    <t>Наименование ГРБС</t>
  </si>
  <si>
    <t>Код целевой статьи областного бюджета</t>
  </si>
  <si>
    <t>Кассовое исполнение, в том числе</t>
  </si>
  <si>
    <t>ИТОГО</t>
  </si>
  <si>
    <t>за счет средств областного бюджета</t>
  </si>
  <si>
    <t>за счет средств федерального бюджета</t>
  </si>
  <si>
    <t>1</t>
  </si>
  <si>
    <t>ВСЕГО:</t>
  </si>
  <si>
    <t>Национальный проект "Демография"</t>
  </si>
  <si>
    <t>Х</t>
  </si>
  <si>
    <t>1.1</t>
  </si>
  <si>
    <t>Региональный проект "Старшее поколение", всего</t>
  </si>
  <si>
    <t>из них</t>
  </si>
  <si>
    <t>Департамент труда и занятости населения Томской области</t>
  </si>
  <si>
    <t>Департамент здравоохранения Томской области</t>
  </si>
  <si>
    <t>Проведение вакцинации против пневмококковой инфекции граждан старше трудоспособного возраста из групп риска, проживающих в организациях социального обслуживания</t>
  </si>
  <si>
    <t>Департамент архитектуры и строительства Томской области</t>
  </si>
  <si>
    <t>Департамент социальной защиты населения Томской области</t>
  </si>
  <si>
    <t>1.2</t>
  </si>
  <si>
    <t>Региональный проект "Спорт - норма жизни", всего</t>
  </si>
  <si>
    <t>Оснащение объектов спортивной инфраструктуры спортивно-технологическим оборудованием</t>
  </si>
  <si>
    <t>Департамент по молодежной политике, физической культуре и спорту Томской области</t>
  </si>
  <si>
    <t>Приобретение оборудования для малобюджетных спортивных площадок по месту жительства и учебы в муниципальных образованиях Томской области, за исключением муниципального образования "Город Томск", муниципального образования "Городской округ закрытое административно-территориальное образование Северск Томской области"</t>
  </si>
  <si>
    <t>Обеспечение условий для развития физической культуры и массового спорта</t>
  </si>
  <si>
    <t>1.3</t>
  </si>
  <si>
    <t>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</si>
  <si>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>1.4</t>
  </si>
  <si>
    <t>Региональный проект "Финансовая поддержка семей при рождении детей", всего</t>
  </si>
  <si>
    <t>Осуществление ежемесячной выплаты в связи с рождением (усыновлением) первого ребенка</t>
  </si>
  <si>
    <t>Осуществление ежемесячной денежной выплаты, назначаемой в случае рождения третьего ребенка или последующих детей до достижения ребенком возраста трех лет</t>
  </si>
  <si>
    <t>2</t>
  </si>
  <si>
    <t>Национальный проект "Здравоохранение"</t>
  </si>
  <si>
    <t>2.1</t>
  </si>
  <si>
    <t>Региональный проект "Развитие системы оказания первичной медико-санитарной помощи", всего</t>
  </si>
  <si>
    <t>Оказание медицинской помощи с применением санитарной авиации</t>
  </si>
  <si>
    <t>2.2</t>
  </si>
  <si>
    <t>Региональный проект "Борьба с сердечно-сосудистыми заболеваниями", всего</t>
  </si>
  <si>
    <t>Оснащение оборудованием региональных сосудистых центров и первичных сосудистых отделений</t>
  </si>
  <si>
    <t>2.3</t>
  </si>
  <si>
    <t>2.4</t>
  </si>
  <si>
    <t>Региональный проект "Создание единого цифрового контура в здравоохранении на основе единой государственной информационной системы здравоохранения (ЕГИСЗ)", всего</t>
  </si>
  <si>
    <t>Реализация региональных проектов "Создание единого цифрового контура в здравоохранении на основе единой государственной информационной системы здравоохранения (ЕГИСЗ)"</t>
  </si>
  <si>
    <t>Региональный проект "Борьба с онкологическими заболеваниями", всего</t>
  </si>
  <si>
    <t>3</t>
  </si>
  <si>
    <t>Национальный проект "Образование"</t>
  </si>
  <si>
    <t>3.1</t>
  </si>
  <si>
    <t>Региональный проект "Современная школа", всего</t>
  </si>
  <si>
    <t>Департамент общего образования Томской области</t>
  </si>
  <si>
    <t>3.2</t>
  </si>
  <si>
    <t>Региональный проект "Цифровая образовательная среда", всего</t>
  </si>
  <si>
    <t>Департамент профессионального образования Томской области</t>
  </si>
  <si>
    <t>Внедрение и функционирование целевой модели цифровой образовательной среды в общеобразовательных организациях</t>
  </si>
  <si>
    <t>Функционирование целевой модели цифровой образовательной среды в профессиональных образовательных организациях</t>
  </si>
  <si>
    <t>3.3</t>
  </si>
  <si>
    <t>Региональный проект "Успех каждого ребенка", всего</t>
  </si>
  <si>
    <t>Создание центров выявления и поддержки одаренных детей</t>
  </si>
  <si>
    <t>Внедрение целевой модели развития региональных систем дополнительного образования детей</t>
  </si>
  <si>
    <t>3.4</t>
  </si>
  <si>
    <t>Региональный проект "Молодые профессионалы (Повышение конкурентоспособности профессионального образования)", всего</t>
  </si>
  <si>
    <t>Государственная поддержка профессиональных образовательных организаций в целях обеспечения соответствия их материально-технической базы современным требованиям</t>
  </si>
  <si>
    <t>Функционирование центра опережающей профессиональной подготовки</t>
  </si>
  <si>
    <t>Обеспечение проведения аттестации обучающихся по программам среднего профессионального образования с использованием механизма демонстрационного экзамена</t>
  </si>
  <si>
    <t>Внедрение программ профессионального обучения по наиболее востребованным и перспективным профессиям на уровне, соответствующем стандартам Ворлдскиллс, с учетом продолжительности программ не более 6 месяцев</t>
  </si>
  <si>
    <t>Повышение квалификации преподавателей (мастеров производственного обучения) по программам, основанным на опыте Союза Ворлдскиллс Россия</t>
  </si>
  <si>
    <t>4</t>
  </si>
  <si>
    <t>Национальный проект "Цифровая экономика"</t>
  </si>
  <si>
    <t>4.1</t>
  </si>
  <si>
    <t>Региональный проект "Кадры для цифровой экономики", всего</t>
  </si>
  <si>
    <t>4.2</t>
  </si>
  <si>
    <t>Региональный проект "Цифровые технологии"</t>
  </si>
  <si>
    <t>Финансовое обеспечение затрат, возникающих при реализации проекта "Цифровые технологии"</t>
  </si>
  <si>
    <t>Департамент по развитию инновационной и предпринимательской деятельности Томской области</t>
  </si>
  <si>
    <t>4.3</t>
  </si>
  <si>
    <t>Региональный проект "Информационная безопасность"</t>
  </si>
  <si>
    <t>Администрация Томской области</t>
  </si>
  <si>
    <t>4.4</t>
  </si>
  <si>
    <t>Региональный проект "Цифровое государственное управление"</t>
  </si>
  <si>
    <t>Внедрение цифровых технологий и платформенных решений в сферах государственного управления и оказания государственных и муниципальных услуг</t>
  </si>
  <si>
    <t>Обеспечение возможности доступа пользователей в модели "одного окна" посредством единого портала государственных и муниципальных услуг (функций) к информации, созданной органами государственной власти, органами местного самоуправления и органами государственных внебюджетных фондов, а также к иной общедоступной информации</t>
  </si>
  <si>
    <t>4.5</t>
  </si>
  <si>
    <t>Региональный проект "Информационная инфраструктура"</t>
  </si>
  <si>
    <t>5</t>
  </si>
  <si>
    <t>Национальный проект "Жилье и городская среда"</t>
  </si>
  <si>
    <t>5.1</t>
  </si>
  <si>
    <t>Региональный проект "Формирование комфортной городской среды", всего</t>
  </si>
  <si>
    <t>Реализация программ формирования современной городской среды</t>
  </si>
  <si>
    <t xml:space="preserve">5.2  </t>
  </si>
  <si>
    <t>6</t>
  </si>
  <si>
    <t>Национальный проект "Экология"</t>
  </si>
  <si>
    <t>6.1</t>
  </si>
  <si>
    <t>Региональный проект "Сохранение лесов", всего</t>
  </si>
  <si>
    <t>Увеличение площади лесовосстановления</t>
  </si>
  <si>
    <t>Департамент лесного хозяйства Томской области</t>
  </si>
  <si>
    <t>Оснащение учреждений, выполняющих мероприятия по воспроизводству лесов, специализированной лесохозяйственной техникой и оборудованием для проведения комплекса мероприятий по лесовосстановлению и лесоразведению</t>
  </si>
  <si>
    <t>Оснащение специализированных учреждений органов государственной власти субъектов Российской Федерации лесопожарной техникой и оборудованием для проведения комплекса мероприятий по охране лесов от пожаров</t>
  </si>
  <si>
    <t>6.2</t>
  </si>
  <si>
    <t>Региональный проект "Чистая вода", всего</t>
  </si>
  <si>
    <t>Строительство и реконструкция (модернизация) объектов питьевого водоснабжения</t>
  </si>
  <si>
    <t>Департамент ЖКХ и государственного жилищного надзора Томской области</t>
  </si>
  <si>
    <t>6.3</t>
  </si>
  <si>
    <t>Департамент природных ресурсов и охраны окружающей среды Томской области</t>
  </si>
  <si>
    <t>Региональный проект «Сохранение уникальных водных объектов»</t>
  </si>
  <si>
    <t>Восстановление и экологическая реабилитация водных объектов</t>
  </si>
  <si>
    <t>7</t>
  </si>
  <si>
    <t>Национальный проект "Безопасные и качественные автомобильные дороги"</t>
  </si>
  <si>
    <t>7.1</t>
  </si>
  <si>
    <t>Региональный проект "Дорожная сеть", всего</t>
  </si>
  <si>
    <t>Департамент транспорта, дорожной деятельности и связи Томской области</t>
  </si>
  <si>
    <t>8</t>
  </si>
  <si>
    <t>Национальный проект "Культура"</t>
  </si>
  <si>
    <t>8.1</t>
  </si>
  <si>
    <t>Региональный проект "Культурная среда", всего</t>
  </si>
  <si>
    <t>Департамент по культуре Томской области</t>
  </si>
  <si>
    <t>8.2</t>
  </si>
  <si>
    <t>Региональный проект "Цифровая культура"</t>
  </si>
  <si>
    <t>Региональный проект "Творческие люди"</t>
  </si>
  <si>
    <t>Организация и проведение фестиваля любительских творческих коллективов</t>
  </si>
  <si>
    <t>9</t>
  </si>
  <si>
    <t>Национальный проект "Малое и среднее предпринимательство и поддержка индивидуальной предпринимательской инициативы"</t>
  </si>
  <si>
    <t>9.1</t>
  </si>
  <si>
    <t>9.2</t>
  </si>
  <si>
    <t>Региональный проект "Акселерация субъектов малого и среднего предпринимательства", всего</t>
  </si>
  <si>
    <t>9.3</t>
  </si>
  <si>
    <t>Департамент по социально-экономическому развитию села Томской области</t>
  </si>
  <si>
    <t>Осуществление текущей деятельности центра компетенций в сфере сельскохозяйственной кооперации и поддержки фермеров Томской области</t>
  </si>
  <si>
    <t>10</t>
  </si>
  <si>
    <t>Национальный проект "Производительность труда и поддержка занятости"</t>
  </si>
  <si>
    <t>10.1</t>
  </si>
  <si>
    <t>Региональный проект "Адресная поддержка повышения производительности труда на предприятиях", всего</t>
  </si>
  <si>
    <t>Капитальный ремонт муниципальных спортивных сооружений</t>
  </si>
  <si>
    <t>Переселение граждан из аварийного жилищного фонда за счет средств, поступивших от Фонда содействия реформированию жилищно-коммунального хозяйства</t>
  </si>
  <si>
    <t>Переселение граждан из аварийного жилищного фонда за счет средств областного бюджета</t>
  </si>
  <si>
    <t>Внедрение в органах государственной власти типового автоматизированного рабочего места госслужащего на базе отечественного программного обеспечения</t>
  </si>
  <si>
    <t xml:space="preserve">Создание новых мест в общеобразовательных организациях </t>
  </si>
  <si>
    <t>03WI455272</t>
  </si>
  <si>
    <t>03WI555274</t>
  </si>
  <si>
    <t>Финансовое обеспечение затрат по организации оказания комплекса услуг, сервисов и мер поддержки субъектам малого и среднего предпринимательства в центре "Мой бизнес" - Центре кластерного развития Томской области</t>
  </si>
  <si>
    <t>03WL252961</t>
  </si>
  <si>
    <t>Повышение эффективности службы занятости</t>
  </si>
  <si>
    <t>Возмещение части затрат сельскохозяйственных потребительских кооперативов</t>
  </si>
  <si>
    <t>11.1</t>
  </si>
  <si>
    <t>Региональный проект "Экспорт продукции агропромышленного комплекса"</t>
  </si>
  <si>
    <t>Государственная поддержка аккредитации ветеринарных лабораторий в национальной системе аккредитации</t>
  </si>
  <si>
    <t>Департамент ветеринарии Томской области</t>
  </si>
  <si>
    <t>06WT252510</t>
  </si>
  <si>
    <t>Оснащение медицинских организаций передвижными медицинскими комплексами для оказания медицинской помощи жителям населенных пунктов с численностью населения до 100 человек</t>
  </si>
  <si>
    <t>07WN151910</t>
  </si>
  <si>
    <t>07WN155540</t>
  </si>
  <si>
    <t>07WN251920</t>
  </si>
  <si>
    <t>07WN255860</t>
  </si>
  <si>
    <t>Обеспечение профилактики развития сердечно-сосудистых заболеваний и сердечно-сосудистых осложнений у пациентов высокого риска, находящихся на диспансерном наблюдении</t>
  </si>
  <si>
    <t>Переоснащение медицинских организаций, оказывающих медицинскую помощь больным с онкологическими заболеваниями</t>
  </si>
  <si>
    <t>07WN351900</t>
  </si>
  <si>
    <t>07WN352270</t>
  </si>
  <si>
    <t>07WN751140</t>
  </si>
  <si>
    <t>Государственная поддержка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</si>
  <si>
    <t>08WP550810</t>
  </si>
  <si>
    <t>Создание и модернизация объектов спортивной инфраструктуры региональной собственности (муниципальной собственности) для занятий физической культурой и спортом</t>
  </si>
  <si>
    <t>08WP551390</t>
  </si>
  <si>
    <t>08WP552280</t>
  </si>
  <si>
    <t>Приобретение спортивного оборудования и инвентаря для приведения организаций спортивной подготовки в нормативное состояние</t>
  </si>
  <si>
    <t>08WP552290</t>
  </si>
  <si>
    <t>09WE151690</t>
  </si>
  <si>
    <t>Обновление материально-технической базы в организациях, осуществляющих образовательную деятельность исключительно по адаптированным основным общеобразовательным программам</t>
  </si>
  <si>
    <t>09WE151870</t>
  </si>
  <si>
    <t>09WE155200</t>
  </si>
  <si>
    <t>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</si>
  <si>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>09WE250970</t>
  </si>
  <si>
    <t>09WE252470</t>
  </si>
  <si>
    <t>Создание мобильных технопарков "Кванториум"</t>
  </si>
  <si>
    <t>09WE254910</t>
  </si>
  <si>
    <t>Создание новых мест в образовательных организациях различных типов для реализации дополнительных общеразвивающих программ всех направленностей</t>
  </si>
  <si>
    <t>09WE452100</t>
  </si>
  <si>
    <t>Создание центров цифрового образования детей</t>
  </si>
  <si>
    <t>09WE452190</t>
  </si>
  <si>
    <t>09WP252320</t>
  </si>
  <si>
    <t>Создание дополнительных мест для детей в возрасте от 1,5 до 3 лет любой направленности в организациях, осуществляющих образовательную деятельность (за исключением государственных, муниципальных), и у индивидуальных предпринимателей, осуществляющих образовательную деятельность по образовательным программам дошкольного образования, в том числе адаптированным, и присмотр и уход за детьми</t>
  </si>
  <si>
    <t>09WP252530</t>
  </si>
  <si>
    <t>10WA154540</t>
  </si>
  <si>
    <t>Комитет по охране объектов культурного наследия Томской области</t>
  </si>
  <si>
    <t>Модернизация театров юного зрителя и театров кукол</t>
  </si>
  <si>
    <t>10WA154560</t>
  </si>
  <si>
    <t>Государственная поддержка отрасли культуры</t>
  </si>
  <si>
    <t>10WA155190</t>
  </si>
  <si>
    <t>10WA354530</t>
  </si>
  <si>
    <t>11WP150840</t>
  </si>
  <si>
    <t>11WP155730</t>
  </si>
  <si>
    <t>11WP351210</t>
  </si>
  <si>
    <t>13WF255550</t>
  </si>
  <si>
    <t>13WF367483</t>
  </si>
  <si>
    <t>15WG850570</t>
  </si>
  <si>
    <t>15WGА54290</t>
  </si>
  <si>
    <t>15WGА54300</t>
  </si>
  <si>
    <t>15WGА54320</t>
  </si>
  <si>
    <t>18WR153930</t>
  </si>
  <si>
    <t>Региональный проект «Чистая страна»</t>
  </si>
  <si>
    <t>26WG152420</t>
  </si>
  <si>
    <t>Ликвидация несанкционированных свалок в границах городов и наиболее опасных объектов накопленного экологического вреда окружающей среде</t>
  </si>
  <si>
    <t>20WD622700</t>
  </si>
  <si>
    <t>Внедрение в деятельность органов государственной власти и органов местного самоуправления, а также подведомственных им организаций межведомственного юридически значимого электронного документооборота с применением электронной подписи, базирующегося на единых инфраструктурных, технологических и методологических решениях</t>
  </si>
  <si>
    <t>20WD622500</t>
  </si>
  <si>
    <t>20WD620400</t>
  </si>
  <si>
    <t>20WD623500</t>
  </si>
  <si>
    <t>20WD461632</t>
  </si>
  <si>
    <t>Обеспечение использования отечественных разработок и технологий при передаче, обработке и хранении данных</t>
  </si>
  <si>
    <t>20WD464142</t>
  </si>
  <si>
    <t>Обеспечение устойчивости и безопасности функционирования информационной инфраструктуры и сервисов передачи, обработки и хранения данных</t>
  </si>
  <si>
    <t>11WP1Д0840</t>
  </si>
  <si>
    <t>07WN1Д5540</t>
  </si>
  <si>
    <t>08WP540007</t>
  </si>
  <si>
    <t>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</si>
  <si>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08WP540008</t>
  </si>
  <si>
    <t>08WP540006</t>
  </si>
  <si>
    <t>10WA204300</t>
  </si>
  <si>
    <t>10WA2Д0274</t>
  </si>
  <si>
    <t>Реализация творческих проектов, направленных на укрепление российской гражданской идентичности на основе духовно-нравственных и культурных ценностей народов Российской Федерации</t>
  </si>
  <si>
    <t>09WE452102</t>
  </si>
  <si>
    <t>09WE251890</t>
  </si>
  <si>
    <t>09WE661635</t>
  </si>
  <si>
    <t>09WE661637</t>
  </si>
  <si>
    <t>Вовлечение в различные формы наставничества обучающихся организаций, осуществляющих образовательную деятельность по образовательным программам среднего профессионального образования</t>
  </si>
  <si>
    <t>09WE661624</t>
  </si>
  <si>
    <t>09WE661634</t>
  </si>
  <si>
    <t>09WE661636</t>
  </si>
  <si>
    <t>Функционирование учебной производственной площадки "Фабрика процессов"</t>
  </si>
  <si>
    <t>03WL252962</t>
  </si>
  <si>
    <t>09WE452101</t>
  </si>
  <si>
    <t>09WE651771</t>
  </si>
  <si>
    <t>08WP540010</t>
  </si>
  <si>
    <t>13WF367484</t>
  </si>
  <si>
    <t>Региональный проект "Общесистемные меры развития дорожного хозяйства", всего</t>
  </si>
  <si>
    <t>Субсидия некоммерческой организации "Фонд содействия развитию территорий" на реализацию мероприятий по обеспечению доступа к воде питьевого качества населения сельских территорий</t>
  </si>
  <si>
    <t>02WD501700</t>
  </si>
  <si>
    <t>18WR353930</t>
  </si>
  <si>
    <t>7.2</t>
  </si>
  <si>
    <t>03WI555276</t>
  </si>
  <si>
    <t>11WP354680</t>
  </si>
  <si>
    <t>18WR254180</t>
  </si>
  <si>
    <t>Внедрение интеллектуальных транспортных систем, предусматривающих автоматизацию процессов управления дорожным движением в городских агломерациях, включающих города с населением свыше 300 тысяч человек</t>
  </si>
  <si>
    <t>09WE255371</t>
  </si>
  <si>
    <t>Информационно-методическое сопровождение кружкового движения и организация проведения Олимпиады Национальной технологической инициативы (Олимпиады НТИ)</t>
  </si>
  <si>
    <t>09WE255372</t>
  </si>
  <si>
    <t>Внедрение и функционирование целевой модели цифровой образовательной среды в муниципальных общеобразовательных организациях</t>
  </si>
  <si>
    <t>09WE441900</t>
  </si>
  <si>
    <t>7.3</t>
  </si>
  <si>
    <t>Региональный проект "Безопасность дорожного движения", всего</t>
  </si>
  <si>
    <t>11WP35121И</t>
  </si>
  <si>
    <t>06WT252590</t>
  </si>
  <si>
    <t>Развитие и распространение лучшего опыта в сфере формирования цифровых навыков образовательных организаций, осуществляющих образовательную деятельность по общеобразовательным программам, имеющих лучшие результаты в преподавании предметных областей "Математика", "Информатика" и "Технология"</t>
  </si>
  <si>
    <t>09WD367714</t>
  </si>
  <si>
    <t>07WN352271</t>
  </si>
  <si>
    <t>11WP351211</t>
  </si>
  <si>
    <t>** по данным финансовых органов муниципальных образований (средства на софинансирование региональных проектов за счет местных бюджетов; денежные  средства отражены с  учетом остатков прошлых лет, потребность в которых подтверждена</t>
  </si>
  <si>
    <t>09WP241070</t>
  </si>
  <si>
    <t>Национальный проект "Международная кооперация и экспорт"</t>
  </si>
  <si>
    <t>8.3</t>
  </si>
  <si>
    <t>2021 год</t>
  </si>
  <si>
    <t>2022 год</t>
  </si>
  <si>
    <t>2023 год</t>
  </si>
  <si>
    <t>(тыс. рублей)</t>
  </si>
  <si>
    <t>03WI255271</t>
  </si>
  <si>
    <t>Региональный проект "Создание благоприятных условий для осуществления деятельности самозанятыми гражданами", всего</t>
  </si>
  <si>
    <t>Поддержка малого и среднего предпринимательства по созданию благоприятных условий для осуществления деятельности самозанятыми гражданами</t>
  </si>
  <si>
    <t>Реализация комплексных программ по вовлечению в предпринимательскую деятельность и содействию созданию собственного бизнеса для каждой целевой группы, включая поддержку создания сообществ начинающих предпринимателей и развитие института наставничества</t>
  </si>
  <si>
    <t>03WI455273</t>
  </si>
  <si>
    <t>Развитие деятельности центров поддержки экспорта, направленной на обеспечение доступа субъектов малого и среднего предпринимательства к экспортной поддержке</t>
  </si>
  <si>
    <t>03WI555277</t>
  </si>
  <si>
    <t>Докапитализация Гарантийного фонда Томской области</t>
  </si>
  <si>
    <t>03WI555278</t>
  </si>
  <si>
    <t>Создание промышленных парков для субъектов малого и среднего предпринимательства</t>
  </si>
  <si>
    <t>03WI555279</t>
  </si>
  <si>
    <t>05WP252910</t>
  </si>
  <si>
    <t>Гранты "Агростартап" на реализацию проектов создания и развития крестьянских (фермерских) хозяйст</t>
  </si>
  <si>
    <t>06WI554801</t>
  </si>
  <si>
    <t>06WI554802</t>
  </si>
  <si>
    <t>06WI554803</t>
  </si>
  <si>
    <t>06WI554804</t>
  </si>
  <si>
    <t>Разработка проектной документации на строительство муниципальных объектов недвижимого имущества в сфере общего образования</t>
  </si>
  <si>
    <t>09WE14П010</t>
  </si>
  <si>
    <t>Реализация мероприятий по формированию и обеспечению функционирования единой федеральной системы научно-методологического сопровождения педагогических работников и управленческих кадров</t>
  </si>
  <si>
    <t>09WE154810</t>
  </si>
  <si>
    <t>Капитальный ремонт объектов недвижимого имущества в сфере культуры</t>
  </si>
  <si>
    <t>10WA155191</t>
  </si>
  <si>
    <t>10WA155192</t>
  </si>
  <si>
    <t>Оснащение образовательных учреждений в сфере культуры (детских школ искусств по видам искусств и училищ) музыкальными инструментами, оборудованием и учебными материалами</t>
  </si>
  <si>
    <t>10WA155193</t>
  </si>
  <si>
    <t>Приобретение передвижных многофункциональных культурных центров (автоклубов) для обслуживания сельского населения</t>
  </si>
  <si>
    <t>10WA255194</t>
  </si>
  <si>
    <t>Государственная поддержка лучших сельских учреждений и лучших работников сельских учреждений культуры</t>
  </si>
  <si>
    <t>Ежемесячная денежная выплата нуждающейся в поддержке семье, назначаемая в случае рождения после 31 декабря 2012 года третьего ребенка или последующих детей до достижения ребенком возраста трех лет</t>
  </si>
  <si>
    <t>Осуществление авторского надзора</t>
  </si>
  <si>
    <t>Строительство (приобретение) объектов коммунальной инфраструктуры государственной собственности Томской области</t>
  </si>
  <si>
    <t xml:space="preserve">5.3  </t>
  </si>
  <si>
    <t>Региональный проект "Жилье", всего</t>
  </si>
  <si>
    <t>Региональный проект "Обеспечение устойчивого  сокращения непригодного для проживания жилищного фонда", всего</t>
  </si>
  <si>
    <t>Стимулирование программ развития жилищного строительства субъектов Российской Федерации</t>
  </si>
  <si>
    <t>13WF150210</t>
  </si>
  <si>
    <t>18WR253930</t>
  </si>
  <si>
    <t>5.4</t>
  </si>
  <si>
    <t>19WF552430</t>
  </si>
  <si>
    <t>19WF501140</t>
  </si>
  <si>
    <t>20WD255890</t>
  </si>
  <si>
    <t>Обеспечение на участках мировых судей формирования и функционирования необходимой информационно-технологической и телекоммуникационной инфраструктуры для организации защищенного межведомственного электронного взаимодействия, приема исковых заявлений, направляемых в электронном виде, и организации участия в заседаниях мировых судов в режиме видео-конференц-связи</t>
  </si>
  <si>
    <t>Оказание комплекса услуг, сервисов и мер поддержки субъектам малого и среднего предпринимательства в центре "Мой бизнес"</t>
  </si>
  <si>
    <t>Государственная поддержка стимулирования увеличения производства масличных культур</t>
  </si>
  <si>
    <t>Обеспечение закупки авиационных работ в целях оказания медицинской помощи</t>
  </si>
  <si>
    <t>Создание и обеспечение функционирования центров образования естественно-научной и технологической направленностей в общеобразовательных организациях, расположенных в сельской местности и малых городах</t>
  </si>
  <si>
    <t>Обеспечение образовательных организаций материально-технической базой для внедрения цифровой образовательной среды</t>
  </si>
  <si>
    <t>Создание модельных муниципальных библиотек по результатам конкурсного отбора, проводимого Министерством культуры Российской Федерации</t>
  </si>
  <si>
    <t>Улучшение экологического состояния гидрографической сети</t>
  </si>
  <si>
    <t>15WG850900</t>
  </si>
  <si>
    <t>Формирование ИТ-инфраструктуры в государственных (муниципальных) образовательных организациях, реализующих программы общего образования, в соответствии с утвержденным стандартом для обеспечения в помещениях безопасного доступа к государственным, муниципальным и иным информационным системам, а также к сети "Интернет"</t>
  </si>
  <si>
    <t>20WD251170</t>
  </si>
  <si>
    <t>Региональный проект "Содействие занятости", всего</t>
  </si>
  <si>
    <t>Комитет по обеспечению деятельности мировых судей Томской области</t>
  </si>
  <si>
    <t>за счет средств местных бюджетов</t>
  </si>
  <si>
    <t>* по данным сводной бюджетной росписи областного бюджета на 2021-2023 годы по состоянию на отчетную дату; лимиты бюджетных обязательств соответствуют плановым назначениям</t>
  </si>
  <si>
    <t>Плановые ассигнования*, в том числе</t>
  </si>
  <si>
    <t>за счет средств местных бюджетов**</t>
  </si>
  <si>
    <t>% исполнения</t>
  </si>
  <si>
    <t>09WP252321</t>
  </si>
  <si>
    <t>Новое строительство и реконструкция (Хирургический корпус на 120 коек с поликлиникой на 200 п/смену ОГАУЗ "Томский областной онкологический диспансер")</t>
  </si>
  <si>
    <t>Финансовое обеспечение программ, направленных на обеспечение безопасных и комфортных условий предоставления социальных услуг в сфере социального обслуживания (Строительство спальных корпусов № 1 на 100 койко-мест и № 3 на 70 койко-мест с помещениями административно-бытового обслуживания ОГБУ "Итатский дом-интернат для престарелых и инвалидов" по адресу: Томский район, с.Итатка, ул.Северная,3)</t>
  </si>
  <si>
    <t>09WE152300</t>
  </si>
  <si>
    <t>Создание новых мест в общеобразовательных организациях, расположенных в сельской местности и поселках городского типа</t>
  </si>
  <si>
    <t>09WE152301</t>
  </si>
  <si>
    <t>11WP35121П</t>
  </si>
  <si>
    <t>Разработка проектной документации на строительство объектов коммунальной инфраструктуры государственной собственности Томской области</t>
  </si>
  <si>
    <t>13WF30И030</t>
  </si>
  <si>
    <t>Капитальные вложения в объекты государственной собственности в сфере жилищного строительства</t>
  </si>
  <si>
    <t>09WP241060</t>
  </si>
  <si>
    <t>Оснащение зданий средствами обучения и воспитания для размещения дошкольных образовательных организаций</t>
  </si>
  <si>
    <t>19WF54П130</t>
  </si>
  <si>
    <t>Подготовка проектной документации на объекты водоснабжения (в том числе проведение инженерных изысканий)</t>
  </si>
  <si>
    <t>Департамент по управлению государственной собственностью Томской области</t>
  </si>
  <si>
    <t>06WI554800</t>
  </si>
  <si>
    <t>09WE155201</t>
  </si>
  <si>
    <t>10WA1Д4540</t>
  </si>
  <si>
    <t>Создание модельных муниципальных библиотек</t>
  </si>
  <si>
    <t>Гранты в форме субсидий субъектам малого и среднего предпринимательства, включенным в реестр социальных предпринимателей</t>
  </si>
  <si>
    <t>Региональный проект "Создание условий для легкого старта и комфортного ведения бизнеса", всего</t>
  </si>
  <si>
    <t>Информация о плановых ассигнованиях и кассовом исполнении расходов консолидированного бюджета Томской области на реализацию региональных проектов Томской области по состоянию на 01.08.2021</t>
  </si>
  <si>
    <t xml:space="preserve">ФИО сотрудника Депатамента Финансов Томской  области </t>
  </si>
  <si>
    <t>Описание процента исполнения</t>
  </si>
  <si>
    <t>Оснащение зданий для размещения дошкольных образовательных организаций оборудованием, средствами обучения и воспитания, предусмотренными проектной документацией</t>
  </si>
  <si>
    <t>Создание виртуальных концертных залов по результатам конкурсного отбора, проводимого Министерством культуры Российской Федерации</t>
  </si>
  <si>
    <t>Создание системы поддержки фермеров и развитие сельской кооперации</t>
  </si>
  <si>
    <t>11</t>
  </si>
  <si>
    <t>Плановые ассигнования</t>
  </si>
  <si>
    <t>На 01.08.2021</t>
  </si>
  <si>
    <t>исполнено</t>
  </si>
  <si>
    <t>На 20.08.2021</t>
  </si>
  <si>
    <t>09WE141890</t>
  </si>
  <si>
    <t>09WE153050</t>
  </si>
  <si>
    <t>Оснащение зданий для размещения общеобразовательных организаций оборудованием, предусмотренным проектной документацией</t>
  </si>
  <si>
    <t>Создание новых мест в общеобразовательных организациях в связи с ростом числа обучающихся, вызванным демографическим фактором</t>
  </si>
  <si>
    <t>11WP351212</t>
  </si>
  <si>
    <t>Охрана оборудования, приобретенного для оснащения объекта</t>
  </si>
  <si>
    <t>Обновление информационной системы "Региональный сегмент данных ЕАИС Томской области"</t>
  </si>
  <si>
    <t>02WD503040</t>
  </si>
  <si>
    <t>Департамент тарифного регулирования Томской области</t>
  </si>
  <si>
    <t>Создание модельных муниципальных библиотек по результатам конкурсного отбора, проводимого Министерством культуры Российской Федерации, за счет средств резервного фонда Правительства Российской Федерации</t>
  </si>
  <si>
    <t>10WA15454F</t>
  </si>
  <si>
    <t>11WP15084F</t>
  </si>
  <si>
    <t>Осуществление ежемесячной денежной выплаты, назначаемой в случае рождения третьего ребенка или последующих детей до достижения ребенком возраста трех лет, за счет средств резервного фонда Правительства Российской Федерации</t>
  </si>
  <si>
    <t>Финансовое обеспечение дорожной деятельности в рамках реализации национального проекта "Безопасные качественные дороги"</t>
  </si>
  <si>
    <t>Поддержка субъектов Российской Федерации - участников национального проекта "Производительность труда "</t>
  </si>
  <si>
    <t>Информация о плановых ассигнованиях и кассовом исполнении расходов консолидированного бюджета Томской области на реализацию региональных проектов Томской области по состоянию на 01.01.2022</t>
  </si>
</sst>
</file>

<file path=xl/styles.xml><?xml version="1.0" encoding="utf-8"?>
<styleSheet xmlns="http://schemas.openxmlformats.org/spreadsheetml/2006/main">
  <numFmts count="2">
    <numFmt numFmtId="164" formatCode="#,##0.0"/>
    <numFmt numFmtId="165" formatCode="0.0%"/>
  </numFmts>
  <fonts count="16">
    <font>
      <sz val="11"/>
      <color theme="1"/>
      <name val="Calibri"/>
      <family val="2"/>
      <charset val="204"/>
      <scheme val="minor"/>
    </font>
    <font>
      <i/>
      <sz val="11"/>
      <color theme="1"/>
      <name val="PT Astra Serif"/>
      <family val="1"/>
      <charset val="204"/>
    </font>
    <font>
      <sz val="11"/>
      <color theme="1"/>
      <name val="PT Astra Serif"/>
      <family val="1"/>
      <charset val="204"/>
    </font>
    <font>
      <sz val="11"/>
      <name val="PT Astra Serif"/>
      <family val="1"/>
      <charset val="204"/>
    </font>
    <font>
      <sz val="14"/>
      <name val="PT Astra Serif"/>
      <family val="1"/>
      <charset val="204"/>
    </font>
    <font>
      <sz val="13"/>
      <name val="PT Astra Serif"/>
      <family val="1"/>
      <charset val="204"/>
    </font>
    <font>
      <b/>
      <sz val="14"/>
      <color theme="1"/>
      <name val="PT Astra Serif"/>
      <family val="1"/>
      <charset val="204"/>
    </font>
    <font>
      <b/>
      <sz val="13"/>
      <color theme="1"/>
      <name val="PT Astra Serif"/>
      <family val="1"/>
      <charset val="204"/>
    </font>
    <font>
      <sz val="13"/>
      <color theme="1"/>
      <name val="PT Astra Serif"/>
      <family val="1"/>
      <charset val="204"/>
    </font>
    <font>
      <b/>
      <i/>
      <sz val="14"/>
      <color theme="1"/>
      <name val="PT Astra Serif"/>
      <family val="1"/>
      <charset val="204"/>
    </font>
    <font>
      <sz val="14"/>
      <color theme="1"/>
      <name val="PT Astra Serif"/>
      <family val="1"/>
      <charset val="204"/>
    </font>
    <font>
      <i/>
      <sz val="13"/>
      <color theme="1"/>
      <name val="PT Astra Serif"/>
      <family val="1"/>
      <charset val="204"/>
    </font>
    <font>
      <i/>
      <sz val="13"/>
      <name val="PT Astra Serif"/>
      <family val="1"/>
      <charset val="204"/>
    </font>
    <font>
      <b/>
      <sz val="14"/>
      <name val="PT Astra Serif"/>
      <family val="1"/>
      <charset val="204"/>
    </font>
    <font>
      <i/>
      <sz val="14"/>
      <color theme="1"/>
      <name val="PT Astra Serif"/>
      <family val="1"/>
      <charset val="204"/>
    </font>
    <font>
      <sz val="13"/>
      <color rgb="FF000000"/>
      <name val="PT Astra Serif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29">
    <xf numFmtId="0" fontId="0" fillId="0" borderId="0" xfId="0"/>
    <xf numFmtId="0" fontId="1" fillId="3" borderId="0" xfId="0" applyFont="1" applyFill="1" applyAlignment="1">
      <alignment horizontal="right"/>
    </xf>
    <xf numFmtId="0" fontId="2" fillId="0" borderId="4" xfId="0" applyFont="1" applyBorder="1"/>
    <xf numFmtId="0" fontId="2" fillId="0" borderId="0" xfId="0" applyFont="1"/>
    <xf numFmtId="0" fontId="2" fillId="0" borderId="0" xfId="0" applyFont="1" applyFill="1"/>
    <xf numFmtId="0" fontId="2" fillId="0" borderId="0" xfId="0" applyFont="1" applyFill="1" applyAlignment="1">
      <alignment vertical="center"/>
    </xf>
    <xf numFmtId="11" fontId="2" fillId="0" borderId="0" xfId="0" applyNumberFormat="1" applyFont="1" applyFill="1"/>
    <xf numFmtId="164" fontId="2" fillId="3" borderId="0" xfId="0" applyNumberFormat="1" applyFont="1" applyFill="1"/>
    <xf numFmtId="0" fontId="2" fillId="3" borderId="0" xfId="0" applyFont="1" applyFill="1"/>
    <xf numFmtId="0" fontId="7" fillId="0" borderId="4" xfId="0" applyFont="1" applyFill="1" applyBorder="1" applyAlignment="1">
      <alignment horizontal="center" vertical="top" wrapText="1"/>
    </xf>
    <xf numFmtId="0" fontId="7" fillId="3" borderId="4" xfId="0" applyFont="1" applyFill="1" applyBorder="1" applyAlignment="1">
      <alignment horizontal="center" vertical="top" wrapText="1"/>
    </xf>
    <xf numFmtId="49" fontId="7" fillId="0" borderId="4" xfId="0" applyNumberFormat="1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top" wrapText="1"/>
    </xf>
    <xf numFmtId="49" fontId="8" fillId="0" borderId="4" xfId="0" applyNumberFormat="1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left" vertical="center" wrapText="1"/>
    </xf>
    <xf numFmtId="164" fontId="9" fillId="3" borderId="4" xfId="0" applyNumberFormat="1" applyFont="1" applyFill="1" applyBorder="1" applyAlignment="1">
      <alignment horizontal="right" vertical="top" wrapText="1"/>
    </xf>
    <xf numFmtId="165" fontId="9" fillId="3" borderId="4" xfId="0" applyNumberFormat="1" applyFont="1" applyFill="1" applyBorder="1" applyAlignment="1">
      <alignment horizontal="right" vertical="top" wrapText="1"/>
    </xf>
    <xf numFmtId="164" fontId="2" fillId="0" borderId="0" xfId="0" applyNumberFormat="1" applyFont="1"/>
    <xf numFmtId="49" fontId="7" fillId="2" borderId="4" xfId="0" applyNumberFormat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left" vertical="center"/>
    </xf>
    <xf numFmtId="0" fontId="7" fillId="2" borderId="4" xfId="0" applyFont="1" applyFill="1" applyBorder="1" applyAlignment="1">
      <alignment horizontal="center" vertical="center"/>
    </xf>
    <xf numFmtId="164" fontId="6" fillId="2" borderId="4" xfId="0" applyNumberFormat="1" applyFont="1" applyFill="1" applyBorder="1" applyAlignment="1">
      <alignment horizontal="right" vertical="top"/>
    </xf>
    <xf numFmtId="165" fontId="6" fillId="2" borderId="4" xfId="0" applyNumberFormat="1" applyFont="1" applyFill="1" applyBorder="1" applyAlignment="1">
      <alignment horizontal="right" vertical="top"/>
    </xf>
    <xf numFmtId="49" fontId="7" fillId="3" borderId="4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horizontal="center" vertical="center"/>
    </xf>
    <xf numFmtId="164" fontId="6" fillId="0" borderId="4" xfId="0" applyNumberFormat="1" applyFont="1" applyFill="1" applyBorder="1" applyAlignment="1">
      <alignment horizontal="center" vertical="center"/>
    </xf>
    <xf numFmtId="164" fontId="6" fillId="3" borderId="4" xfId="0" applyNumberFormat="1" applyFont="1" applyFill="1" applyBorder="1" applyAlignment="1">
      <alignment horizontal="center" vertical="center"/>
    </xf>
    <xf numFmtId="165" fontId="6" fillId="0" borderId="4" xfId="0" applyNumberFormat="1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left" vertical="center"/>
    </xf>
    <xf numFmtId="0" fontId="8" fillId="3" borderId="4" xfId="0" applyFont="1" applyFill="1" applyBorder="1" applyAlignment="1">
      <alignment horizontal="center" vertical="top"/>
    </xf>
    <xf numFmtId="164" fontId="10" fillId="3" borderId="4" xfId="0" applyNumberFormat="1" applyFont="1" applyFill="1" applyBorder="1" applyAlignment="1">
      <alignment horizontal="center" vertical="center"/>
    </xf>
    <xf numFmtId="165" fontId="10" fillId="0" borderId="4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left" vertical="center" wrapText="1"/>
    </xf>
    <xf numFmtId="0" fontId="8" fillId="3" borderId="4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left" vertical="top" wrapText="1"/>
    </xf>
    <xf numFmtId="0" fontId="7" fillId="0" borderId="4" xfId="0" applyFont="1" applyFill="1" applyBorder="1" applyAlignment="1">
      <alignment horizontal="center" vertical="center"/>
    </xf>
    <xf numFmtId="165" fontId="6" fillId="3" borderId="4" xfId="0" applyNumberFormat="1" applyFont="1" applyFill="1" applyBorder="1" applyAlignment="1">
      <alignment horizontal="center" vertical="center"/>
    </xf>
    <xf numFmtId="49" fontId="8" fillId="3" borderId="4" xfId="0" applyNumberFormat="1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left" vertical="center"/>
    </xf>
    <xf numFmtId="0" fontId="11" fillId="3" borderId="4" xfId="0" applyFont="1" applyFill="1" applyBorder="1" applyAlignment="1">
      <alignment horizontal="left" vertical="center" wrapText="1"/>
    </xf>
    <xf numFmtId="0" fontId="8" fillId="3" borderId="4" xfId="0" applyFont="1" applyFill="1" applyBorder="1" applyAlignment="1">
      <alignment horizontal="center" vertical="top" wrapText="1"/>
    </xf>
    <xf numFmtId="49" fontId="12" fillId="0" borderId="11" xfId="0" applyNumberFormat="1" applyFont="1" applyBorder="1" applyAlignment="1" applyProtection="1">
      <alignment horizontal="left" vertical="center" wrapText="1"/>
    </xf>
    <xf numFmtId="49" fontId="11" fillId="3" borderId="4" xfId="0" applyNumberFormat="1" applyFont="1" applyFill="1" applyBorder="1" applyAlignment="1">
      <alignment horizontal="left" vertical="center" wrapText="1"/>
    </xf>
    <xf numFmtId="0" fontId="11" fillId="3" borderId="4" xfId="0" applyNumberFormat="1" applyFont="1" applyFill="1" applyBorder="1" applyAlignment="1">
      <alignment horizontal="left" vertical="top" wrapText="1"/>
    </xf>
    <xf numFmtId="0" fontId="7" fillId="2" borderId="4" xfId="0" applyFont="1" applyFill="1" applyBorder="1" applyAlignment="1">
      <alignment horizontal="left" vertical="top"/>
    </xf>
    <xf numFmtId="0" fontId="7" fillId="2" borderId="4" xfId="0" applyFont="1" applyFill="1" applyBorder="1" applyAlignment="1">
      <alignment horizontal="center" vertical="top"/>
    </xf>
    <xf numFmtId="164" fontId="6" fillId="2" borderId="4" xfId="0" applyNumberFormat="1" applyFont="1" applyFill="1" applyBorder="1" applyAlignment="1">
      <alignment horizontal="center" vertical="center"/>
    </xf>
    <xf numFmtId="165" fontId="6" fillId="2" borderId="4" xfId="0" applyNumberFormat="1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left" vertical="top" wrapText="1"/>
    </xf>
    <xf numFmtId="0" fontId="11" fillId="3" borderId="4" xfId="0" applyFont="1" applyFill="1" applyBorder="1" applyAlignment="1">
      <alignment horizontal="left" vertical="top" wrapText="1"/>
    </xf>
    <xf numFmtId="0" fontId="7" fillId="3" borderId="4" xfId="0" applyFont="1" applyFill="1" applyBorder="1" applyAlignment="1">
      <alignment horizontal="left" vertical="center" wrapText="1"/>
    </xf>
    <xf numFmtId="49" fontId="5" fillId="3" borderId="4" xfId="0" applyNumberFormat="1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left" vertical="center" wrapText="1"/>
    </xf>
    <xf numFmtId="0" fontId="5" fillId="3" borderId="4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 wrapText="1"/>
    </xf>
    <xf numFmtId="164" fontId="4" fillId="3" borderId="4" xfId="0" applyNumberFormat="1" applyFont="1" applyFill="1" applyBorder="1" applyAlignment="1">
      <alignment horizontal="center" vertical="center"/>
    </xf>
    <xf numFmtId="165" fontId="4" fillId="0" borderId="4" xfId="0" applyNumberFormat="1" applyFont="1" applyFill="1" applyBorder="1" applyAlignment="1">
      <alignment horizontal="center" vertical="center"/>
    </xf>
    <xf numFmtId="0" fontId="3" fillId="0" borderId="0" xfId="0" applyFont="1" applyFill="1"/>
    <xf numFmtId="49" fontId="7" fillId="3" borderId="4" xfId="0" applyNumberFormat="1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top"/>
    </xf>
    <xf numFmtId="0" fontId="8" fillId="0" borderId="4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top"/>
    </xf>
    <xf numFmtId="11" fontId="8" fillId="3" borderId="4" xfId="0" applyNumberFormat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left" vertical="center" wrapText="1"/>
    </xf>
    <xf numFmtId="0" fontId="8" fillId="3" borderId="4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horizontal="center" vertical="top"/>
    </xf>
    <xf numFmtId="165" fontId="10" fillId="3" borderId="4" xfId="0" applyNumberFormat="1" applyFont="1" applyFill="1" applyBorder="1" applyAlignment="1">
      <alignment horizontal="center" vertical="center"/>
    </xf>
    <xf numFmtId="11" fontId="8" fillId="3" borderId="4" xfId="0" applyNumberFormat="1" applyFont="1" applyFill="1" applyBorder="1" applyAlignment="1">
      <alignment horizontal="center" vertical="top"/>
    </xf>
    <xf numFmtId="0" fontId="8" fillId="0" borderId="4" xfId="0" applyFont="1" applyFill="1" applyBorder="1" applyAlignment="1">
      <alignment horizontal="left" vertical="center" wrapText="1"/>
    </xf>
    <xf numFmtId="0" fontId="8" fillId="0" borderId="4" xfId="0" applyFont="1" applyFill="1" applyBorder="1" applyAlignment="1">
      <alignment horizontal="center" vertical="top" wrapText="1"/>
    </xf>
    <xf numFmtId="11" fontId="8" fillId="0" borderId="4" xfId="0" applyNumberFormat="1" applyFont="1" applyFill="1" applyBorder="1" applyAlignment="1">
      <alignment horizontal="center" vertical="top"/>
    </xf>
    <xf numFmtId="49" fontId="8" fillId="0" borderId="4" xfId="0" applyNumberFormat="1" applyFont="1" applyFill="1" applyBorder="1" applyAlignment="1">
      <alignment horizontal="center" vertical="top"/>
    </xf>
    <xf numFmtId="0" fontId="11" fillId="0" borderId="4" xfId="0" applyNumberFormat="1" applyFont="1" applyFill="1" applyBorder="1" applyAlignment="1">
      <alignment horizontal="left" vertical="center" wrapText="1"/>
    </xf>
    <xf numFmtId="0" fontId="2" fillId="2" borderId="0" xfId="0" applyFont="1" applyFill="1"/>
    <xf numFmtId="0" fontId="11" fillId="0" borderId="4" xfId="0" applyFont="1" applyFill="1" applyBorder="1" applyAlignment="1">
      <alignment horizontal="left" vertical="center"/>
    </xf>
    <xf numFmtId="164" fontId="13" fillId="3" borderId="4" xfId="0" applyNumberFormat="1" applyFont="1" applyFill="1" applyBorder="1" applyAlignment="1">
      <alignment horizontal="center" vertical="center"/>
    </xf>
    <xf numFmtId="165" fontId="4" fillId="3" borderId="4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4" fontId="7" fillId="2" borderId="4" xfId="0" applyNumberFormat="1" applyFont="1" applyFill="1" applyBorder="1" applyAlignment="1">
      <alignment horizontal="center" vertical="center"/>
    </xf>
    <xf numFmtId="49" fontId="11" fillId="0" borderId="4" xfId="0" applyNumberFormat="1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/>
    </xf>
    <xf numFmtId="164" fontId="14" fillId="3" borderId="4" xfId="0" applyNumberFormat="1" applyFont="1" applyFill="1" applyBorder="1" applyAlignment="1">
      <alignment horizontal="right" vertical="top" wrapText="1"/>
    </xf>
    <xf numFmtId="165" fontId="14" fillId="3" borderId="4" xfId="0" applyNumberFormat="1" applyFont="1" applyFill="1" applyBorder="1" applyAlignment="1">
      <alignment horizontal="right" vertical="top" wrapText="1"/>
    </xf>
    <xf numFmtId="164" fontId="10" fillId="0" borderId="4" xfId="0" applyNumberFormat="1" applyFont="1" applyFill="1" applyBorder="1" applyAlignment="1">
      <alignment horizontal="center" vertical="center"/>
    </xf>
    <xf numFmtId="164" fontId="10" fillId="0" borderId="4" xfId="0" applyNumberFormat="1" applyFont="1" applyFill="1" applyBorder="1" applyAlignment="1">
      <alignment horizontal="right" vertical="top"/>
    </xf>
    <xf numFmtId="0" fontId="7" fillId="0" borderId="5" xfId="0" applyFont="1" applyFill="1" applyBorder="1" applyAlignment="1">
      <alignment horizontal="center" vertical="center" wrapText="1"/>
    </xf>
    <xf numFmtId="164" fontId="14" fillId="3" borderId="6" xfId="0" applyNumberFormat="1" applyFont="1" applyFill="1" applyBorder="1" applyAlignment="1">
      <alignment horizontal="right" vertical="top" wrapText="1"/>
    </xf>
    <xf numFmtId="0" fontId="15" fillId="0" borderId="4" xfId="0" applyFont="1" applyBorder="1" applyAlignment="1">
      <alignment horizontal="center" vertical="top" wrapText="1"/>
    </xf>
    <xf numFmtId="0" fontId="2" fillId="0" borderId="0" xfId="0" applyFont="1" applyAlignment="1">
      <alignment wrapText="1"/>
    </xf>
    <xf numFmtId="0" fontId="8" fillId="0" borderId="4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wrapText="1"/>
    </xf>
    <xf numFmtId="4" fontId="10" fillId="3" borderId="4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top" wrapText="1"/>
    </xf>
    <xf numFmtId="0" fontId="7" fillId="0" borderId="5" xfId="0" applyFont="1" applyFill="1" applyBorder="1" applyAlignment="1">
      <alignment horizontal="center" vertical="top" wrapText="1"/>
    </xf>
    <xf numFmtId="0" fontId="7" fillId="0" borderId="6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vertical="center"/>
    </xf>
    <xf numFmtId="0" fontId="8" fillId="0" borderId="6" xfId="0" applyFont="1" applyFill="1" applyBorder="1" applyAlignment="1">
      <alignment vertical="center"/>
    </xf>
    <xf numFmtId="0" fontId="8" fillId="0" borderId="5" xfId="0" applyFont="1" applyFill="1" applyBorder="1"/>
    <xf numFmtId="0" fontId="8" fillId="0" borderId="6" xfId="0" applyFont="1" applyFill="1" applyBorder="1"/>
    <xf numFmtId="0" fontId="7" fillId="0" borderId="2" xfId="0" applyFont="1" applyFill="1" applyBorder="1" applyAlignment="1">
      <alignment horizontal="center" vertical="top" wrapText="1"/>
    </xf>
    <xf numFmtId="0" fontId="7" fillId="0" borderId="3" xfId="0" applyFont="1" applyFill="1" applyBorder="1" applyAlignment="1">
      <alignment horizontal="center" vertical="top" wrapText="1"/>
    </xf>
    <xf numFmtId="0" fontId="7" fillId="0" borderId="7" xfId="0" applyFont="1" applyFill="1" applyBorder="1" applyAlignment="1">
      <alignment horizontal="center" vertical="top" wrapText="1"/>
    </xf>
    <xf numFmtId="0" fontId="7" fillId="0" borderId="2" xfId="0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0" fontId="7" fillId="0" borderId="7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 vertical="top" wrapText="1"/>
    </xf>
    <xf numFmtId="0" fontId="7" fillId="0" borderId="8" xfId="0" applyFont="1" applyFill="1" applyBorder="1" applyAlignment="1">
      <alignment horizontal="center" vertical="top" wrapText="1"/>
    </xf>
    <xf numFmtId="0" fontId="7" fillId="0" borderId="9" xfId="0" applyFont="1" applyFill="1" applyBorder="1" applyAlignment="1">
      <alignment horizontal="center" vertical="top" wrapText="1"/>
    </xf>
    <xf numFmtId="0" fontId="7" fillId="0" borderId="10" xfId="0" applyFont="1" applyFill="1" applyBorder="1" applyAlignment="1">
      <alignment horizontal="center" vertical="top" wrapText="1"/>
    </xf>
    <xf numFmtId="0" fontId="15" fillId="0" borderId="4" xfId="0" applyFont="1" applyBorder="1" applyAlignment="1">
      <alignment horizontal="center" vertical="top" wrapText="1"/>
    </xf>
    <xf numFmtId="0" fontId="8" fillId="0" borderId="1" xfId="0" applyFont="1" applyFill="1" applyBorder="1" applyAlignment="1">
      <alignment horizontal="center" vertical="top" wrapText="1"/>
    </xf>
    <xf numFmtId="0" fontId="8" fillId="0" borderId="6" xfId="0" applyFont="1" applyFill="1" applyBorder="1" applyAlignment="1">
      <alignment horizontal="center" vertical="top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top" wrapText="1"/>
    </xf>
    <xf numFmtId="0" fontId="8" fillId="0" borderId="13" xfId="0" applyFont="1" applyFill="1" applyBorder="1" applyAlignment="1">
      <alignment horizontal="center" vertical="top" wrapText="1"/>
    </xf>
    <xf numFmtId="4" fontId="6" fillId="3" borderId="4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99CC00"/>
      <color rgb="FF33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W255"/>
  <sheetViews>
    <sheetView tabSelected="1" zoomScale="60" zoomScaleNormal="60" zoomScaleSheetLayoutView="75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Q17" sqref="Q17"/>
    </sheetView>
  </sheetViews>
  <sheetFormatPr defaultColWidth="8.85546875" defaultRowHeight="15"/>
  <cols>
    <col min="1" max="1" width="6.42578125" style="4" customWidth="1"/>
    <col min="2" max="2" width="56.42578125" style="5" customWidth="1"/>
    <col min="3" max="3" width="7.7109375" style="4" customWidth="1"/>
    <col min="4" max="4" width="38.7109375" style="4" customWidth="1"/>
    <col min="5" max="5" width="17.42578125" style="4" customWidth="1"/>
    <col min="6" max="6" width="17.5703125" style="4" customWidth="1"/>
    <col min="7" max="7" width="15.85546875" style="8" customWidth="1"/>
    <col min="8" max="8" width="17" style="8" customWidth="1"/>
    <col min="9" max="9" width="14.85546875" style="8" customWidth="1"/>
    <col min="10" max="10" width="17.5703125" style="8" customWidth="1"/>
    <col min="11" max="12" width="15.85546875" style="8" customWidth="1"/>
    <col min="13" max="13" width="13.85546875" style="8" customWidth="1"/>
    <col min="14" max="14" width="16.85546875" style="4" customWidth="1"/>
    <col min="15" max="15" width="15.85546875" style="8" customWidth="1"/>
    <col min="16" max="16" width="16.85546875" style="8" customWidth="1"/>
    <col min="17" max="17" width="14.140625" style="8" customWidth="1"/>
    <col min="18" max="18" width="16.7109375" style="4" customWidth="1"/>
    <col min="19" max="19" width="16.42578125" style="8" customWidth="1"/>
    <col min="20" max="20" width="16.5703125" style="8" customWidth="1"/>
    <col min="21" max="21" width="13.42578125" style="8" customWidth="1"/>
    <col min="22" max="22" width="10.28515625" style="4" customWidth="1"/>
    <col min="23" max="23" width="8.85546875" style="3"/>
    <col min="24" max="24" width="19" style="3" customWidth="1"/>
    <col min="25" max="25" width="18.7109375" style="3" customWidth="1"/>
    <col min="26" max="26" width="23.42578125" style="3" bestFit="1" customWidth="1"/>
    <col min="27" max="27" width="18.28515625" style="3" bestFit="1" customWidth="1"/>
    <col min="28" max="101" width="8.85546875" style="3"/>
    <col min="102" max="16384" width="8.85546875" style="4"/>
  </cols>
  <sheetData>
    <row r="1" spans="1:27" ht="15" customHeight="1">
      <c r="A1" s="101" t="s">
        <v>370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</row>
    <row r="2" spans="1:27" ht="37.5" customHeight="1">
      <c r="A2" s="101"/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  <c r="T2" s="101"/>
      <c r="U2" s="101"/>
      <c r="V2" s="101"/>
    </row>
    <row r="3" spans="1:27">
      <c r="E3" s="6"/>
      <c r="G3" s="7"/>
      <c r="T3" s="1"/>
      <c r="U3" s="1" t="s">
        <v>262</v>
      </c>
    </row>
    <row r="4" spans="1:27" ht="16.5" customHeight="1">
      <c r="A4" s="102" t="s">
        <v>0</v>
      </c>
      <c r="B4" s="105" t="s">
        <v>1</v>
      </c>
      <c r="C4" s="102" t="s">
        <v>2</v>
      </c>
      <c r="D4" s="102" t="s">
        <v>3</v>
      </c>
      <c r="E4" s="102" t="s">
        <v>4</v>
      </c>
      <c r="F4" s="113" t="s">
        <v>259</v>
      </c>
      <c r="G4" s="114"/>
      <c r="H4" s="114"/>
      <c r="I4" s="115"/>
      <c r="J4" s="113" t="s">
        <v>259</v>
      </c>
      <c r="K4" s="114"/>
      <c r="L4" s="114"/>
      <c r="M4" s="115"/>
      <c r="N4" s="113" t="s">
        <v>260</v>
      </c>
      <c r="O4" s="114"/>
      <c r="P4" s="114"/>
      <c r="Q4" s="115"/>
      <c r="R4" s="116" t="s">
        <v>261</v>
      </c>
      <c r="S4" s="116"/>
      <c r="T4" s="116"/>
      <c r="U4" s="116"/>
      <c r="V4" s="118" t="s">
        <v>322</v>
      </c>
    </row>
    <row r="5" spans="1:27" ht="16.5" customHeight="1">
      <c r="A5" s="103"/>
      <c r="B5" s="106"/>
      <c r="C5" s="103"/>
      <c r="D5" s="103"/>
      <c r="E5" s="108"/>
      <c r="F5" s="110" t="s">
        <v>320</v>
      </c>
      <c r="G5" s="111"/>
      <c r="H5" s="111"/>
      <c r="I5" s="112"/>
      <c r="J5" s="110" t="s">
        <v>5</v>
      </c>
      <c r="K5" s="111"/>
      <c r="L5" s="111"/>
      <c r="M5" s="112"/>
      <c r="N5" s="110" t="s">
        <v>320</v>
      </c>
      <c r="O5" s="111"/>
      <c r="P5" s="111"/>
      <c r="Q5" s="112"/>
      <c r="R5" s="117" t="s">
        <v>320</v>
      </c>
      <c r="S5" s="117"/>
      <c r="T5" s="117"/>
      <c r="U5" s="117"/>
      <c r="V5" s="119"/>
    </row>
    <row r="6" spans="1:27" ht="82.5">
      <c r="A6" s="104"/>
      <c r="B6" s="107"/>
      <c r="C6" s="104"/>
      <c r="D6" s="104"/>
      <c r="E6" s="109"/>
      <c r="F6" s="9" t="s">
        <v>6</v>
      </c>
      <c r="G6" s="10" t="s">
        <v>7</v>
      </c>
      <c r="H6" s="10" t="s">
        <v>8</v>
      </c>
      <c r="I6" s="10" t="s">
        <v>321</v>
      </c>
      <c r="J6" s="9" t="s">
        <v>6</v>
      </c>
      <c r="K6" s="10" t="s">
        <v>7</v>
      </c>
      <c r="L6" s="10" t="s">
        <v>8</v>
      </c>
      <c r="M6" s="10" t="s">
        <v>321</v>
      </c>
      <c r="N6" s="9" t="s">
        <v>6</v>
      </c>
      <c r="O6" s="10" t="s">
        <v>7</v>
      </c>
      <c r="P6" s="10" t="s">
        <v>8</v>
      </c>
      <c r="Q6" s="10" t="s">
        <v>318</v>
      </c>
      <c r="R6" s="9" t="s">
        <v>6</v>
      </c>
      <c r="S6" s="10" t="s">
        <v>7</v>
      </c>
      <c r="T6" s="10" t="s">
        <v>8</v>
      </c>
      <c r="U6" s="10" t="s">
        <v>318</v>
      </c>
      <c r="V6" s="120"/>
    </row>
    <row r="7" spans="1:27" ht="16.5">
      <c r="A7" s="11" t="s">
        <v>9</v>
      </c>
      <c r="B7" s="12">
        <v>2</v>
      </c>
      <c r="C7" s="13">
        <v>3</v>
      </c>
      <c r="D7" s="13">
        <v>4</v>
      </c>
      <c r="E7" s="13">
        <v>5</v>
      </c>
      <c r="F7" s="9">
        <v>6</v>
      </c>
      <c r="G7" s="10">
        <v>7</v>
      </c>
      <c r="H7" s="10">
        <v>8</v>
      </c>
      <c r="I7" s="10">
        <v>9</v>
      </c>
      <c r="J7" s="9">
        <v>10</v>
      </c>
      <c r="K7" s="10">
        <v>11</v>
      </c>
      <c r="L7" s="10">
        <v>12</v>
      </c>
      <c r="M7" s="10">
        <v>13</v>
      </c>
      <c r="N7" s="9">
        <v>14</v>
      </c>
      <c r="O7" s="10">
        <v>15</v>
      </c>
      <c r="P7" s="10">
        <v>16</v>
      </c>
      <c r="Q7" s="10">
        <v>17</v>
      </c>
      <c r="R7" s="9">
        <v>18</v>
      </c>
      <c r="S7" s="10">
        <v>19</v>
      </c>
      <c r="T7" s="10">
        <v>20</v>
      </c>
      <c r="U7" s="10">
        <v>21</v>
      </c>
      <c r="V7" s="10">
        <v>22</v>
      </c>
    </row>
    <row r="8" spans="1:27" ht="19.5">
      <c r="A8" s="14"/>
      <c r="B8" s="15" t="s">
        <v>10</v>
      </c>
      <c r="C8" s="13"/>
      <c r="D8" s="13"/>
      <c r="E8" s="13"/>
      <c r="F8" s="16">
        <f>G8+H8+I8</f>
        <v>18641016</v>
      </c>
      <c r="G8" s="16">
        <f>G9+G42+G60+G98+G120+G137+G151+G165+G184+G205+G210</f>
        <v>8024799.5999999996</v>
      </c>
      <c r="H8" s="16">
        <f>H9+H42+H60+H98+H120+H137+H151+H165+H184+H205+H210</f>
        <v>9847081.8000000007</v>
      </c>
      <c r="I8" s="16">
        <f>I9+I42+I60+I98+I120+I137+I151+I165+I184+I205+I210</f>
        <v>769134.6</v>
      </c>
      <c r="J8" s="16">
        <f>K8+L8+M8</f>
        <v>14656362.1</v>
      </c>
      <c r="K8" s="16">
        <f>K9+K42+K60+K98+K120+K137+K151+K165+K184+K205+K210</f>
        <v>6975636.9000000004</v>
      </c>
      <c r="L8" s="16">
        <f>L9+L42+L60+L98+L120+L137+L151+L165+L184+L205+L210</f>
        <v>7126671.7999999998</v>
      </c>
      <c r="M8" s="16">
        <f>M9+M42+M60+M98+M120+M137+M151+M165+M184+M205+M210</f>
        <v>554053.4</v>
      </c>
      <c r="N8" s="16">
        <f>O8+P8+Q8</f>
        <v>10882924.800000001</v>
      </c>
      <c r="O8" s="16">
        <f>O9+O42+O60+O98+O120+O137+O151+O165+O184+O205+O210</f>
        <v>5715996.5</v>
      </c>
      <c r="P8" s="16">
        <f>P9+P42+P60+P98+P120+P137+P151+P165+P184+P205+P210</f>
        <v>5026048</v>
      </c>
      <c r="Q8" s="16">
        <f>Q9+Q42+Q60+Q98+Q120+Q137+Q151+Q165+Q184+Q205+Q210</f>
        <v>140880.29999999999</v>
      </c>
      <c r="R8" s="16">
        <f>S8+T8+U8</f>
        <v>11748945</v>
      </c>
      <c r="S8" s="16">
        <f>S9+S42+S60+S98+S120+S137+S151+S165+S184+S205+S210</f>
        <v>6284337</v>
      </c>
      <c r="T8" s="16">
        <f>T9+T42+T60+T98+T120+T137+T151+T165+T184+T205+T210</f>
        <v>5340504.5999999996</v>
      </c>
      <c r="U8" s="16">
        <f>U9+U42+U60+U98+U120+U137+U151+U165+U184+U205+U210</f>
        <v>124103.4</v>
      </c>
      <c r="V8" s="17">
        <f>J8/F8</f>
        <v>0.78600000000000003</v>
      </c>
      <c r="X8" s="18"/>
    </row>
    <row r="9" spans="1:27" ht="18.75">
      <c r="A9" s="19">
        <v>1</v>
      </c>
      <c r="B9" s="20" t="s">
        <v>11</v>
      </c>
      <c r="C9" s="21" t="s">
        <v>12</v>
      </c>
      <c r="D9" s="21" t="s">
        <v>12</v>
      </c>
      <c r="E9" s="21" t="s">
        <v>12</v>
      </c>
      <c r="F9" s="22">
        <f t="shared" ref="F9:F46" si="0">G9+H9+I9</f>
        <v>4478626.5999999996</v>
      </c>
      <c r="G9" s="22">
        <f>G10+G18+G28+G36</f>
        <v>2023478.7</v>
      </c>
      <c r="H9" s="22">
        <f>H10+H18+H28+H36</f>
        <v>2404171</v>
      </c>
      <c r="I9" s="22">
        <f>I10+I18+I28+I36</f>
        <v>50976.9</v>
      </c>
      <c r="J9" s="22">
        <f t="shared" ref="J9:J10" si="1">K9+L9+M9</f>
        <v>4011898.3</v>
      </c>
      <c r="K9" s="22">
        <f>K10+K18+K28+K36</f>
        <v>1700882.2</v>
      </c>
      <c r="L9" s="22">
        <f>L10+L18+L28+L36</f>
        <v>2260989.7999999998</v>
      </c>
      <c r="M9" s="22">
        <f>M10+M18+M28+M36</f>
        <v>50026.3</v>
      </c>
      <c r="N9" s="22">
        <f t="shared" ref="N9:N10" si="2">O9+P9+Q9</f>
        <v>2264082.9</v>
      </c>
      <c r="O9" s="22">
        <f>O10+O18+O28+O36</f>
        <v>392812.9</v>
      </c>
      <c r="P9" s="22">
        <f>P10+P18+P28+P36</f>
        <v>1859038.1</v>
      </c>
      <c r="Q9" s="22">
        <f>Q10+Q18+Q28+Q36</f>
        <v>12231.9</v>
      </c>
      <c r="R9" s="22">
        <f t="shared" ref="R9:R10" si="3">S9+T9+U9</f>
        <v>1989670.3</v>
      </c>
      <c r="S9" s="22">
        <f>S10+S18+S28+S36</f>
        <v>198546.6</v>
      </c>
      <c r="T9" s="22">
        <f>T10+T18+T28+T36</f>
        <v>1779373.1</v>
      </c>
      <c r="U9" s="22">
        <f>U10+U18+U28+U36</f>
        <v>11750.6</v>
      </c>
      <c r="V9" s="23">
        <f t="shared" ref="V9:V46" si="4">J9/F9</f>
        <v>0.89600000000000002</v>
      </c>
      <c r="X9" s="18"/>
      <c r="Y9" s="18"/>
      <c r="Z9" s="18"/>
    </row>
    <row r="10" spans="1:27" ht="39.75" customHeight="1">
      <c r="A10" s="24" t="s">
        <v>13</v>
      </c>
      <c r="B10" s="25" t="s">
        <v>14</v>
      </c>
      <c r="C10" s="26" t="s">
        <v>12</v>
      </c>
      <c r="D10" s="26" t="s">
        <v>12</v>
      </c>
      <c r="E10" s="26" t="s">
        <v>12</v>
      </c>
      <c r="F10" s="28">
        <f>G10+H10+I10</f>
        <v>107343.4</v>
      </c>
      <c r="G10" s="28">
        <f>SUM(G12:G17)</f>
        <v>74204.7</v>
      </c>
      <c r="H10" s="28">
        <f>SUM(H12:H17)</f>
        <v>33138.699999999997</v>
      </c>
      <c r="I10" s="28">
        <f>SUM(I12:I17)</f>
        <v>0</v>
      </c>
      <c r="J10" s="28">
        <f t="shared" si="1"/>
        <v>31132.1</v>
      </c>
      <c r="K10" s="28">
        <f>SUM(K12:K17)</f>
        <v>2577.4</v>
      </c>
      <c r="L10" s="28">
        <f>SUM(L12:L17)</f>
        <v>28554.7</v>
      </c>
      <c r="M10" s="28">
        <f>SUM(M12:M17)</f>
        <v>0</v>
      </c>
      <c r="N10" s="27">
        <f t="shared" si="2"/>
        <v>289.7</v>
      </c>
      <c r="O10" s="28">
        <f>SUM(O12:O17)</f>
        <v>0</v>
      </c>
      <c r="P10" s="28">
        <f>SUM(P12:P17)</f>
        <v>289.7</v>
      </c>
      <c r="Q10" s="28">
        <f>SUM(Q12:Q17)</f>
        <v>0</v>
      </c>
      <c r="R10" s="27">
        <f t="shared" si="3"/>
        <v>289.7</v>
      </c>
      <c r="S10" s="28">
        <f>SUM(S12:S17)</f>
        <v>0</v>
      </c>
      <c r="T10" s="28">
        <f>SUM(T12:T17)</f>
        <v>289.7</v>
      </c>
      <c r="U10" s="28">
        <f>SUM(U12:U17)</f>
        <v>0</v>
      </c>
      <c r="V10" s="29">
        <f t="shared" si="4"/>
        <v>0.28999999999999998</v>
      </c>
      <c r="X10" s="18"/>
      <c r="Y10" s="18"/>
      <c r="Z10" s="18"/>
      <c r="AA10" s="18"/>
    </row>
    <row r="11" spans="1:27" ht="18.75">
      <c r="A11" s="24"/>
      <c r="B11" s="31" t="s">
        <v>15</v>
      </c>
      <c r="C11" s="32"/>
      <c r="D11" s="32"/>
      <c r="E11" s="32"/>
      <c r="F11" s="28"/>
      <c r="G11" s="33"/>
      <c r="H11" s="33"/>
      <c r="I11" s="33"/>
      <c r="J11" s="28"/>
      <c r="K11" s="33"/>
      <c r="L11" s="33"/>
      <c r="M11" s="33"/>
      <c r="N11" s="27"/>
      <c r="O11" s="33"/>
      <c r="P11" s="33"/>
      <c r="Q11" s="33"/>
      <c r="R11" s="27"/>
      <c r="S11" s="33"/>
      <c r="T11" s="33"/>
      <c r="U11" s="33"/>
      <c r="V11" s="34"/>
      <c r="X11" s="18"/>
      <c r="Y11" s="18"/>
      <c r="Z11" s="18"/>
    </row>
    <row r="12" spans="1:27" ht="75.75" customHeight="1">
      <c r="A12" s="24"/>
      <c r="B12" s="35" t="s">
        <v>18</v>
      </c>
      <c r="C12" s="36">
        <v>811</v>
      </c>
      <c r="D12" s="37" t="s">
        <v>17</v>
      </c>
      <c r="E12" s="36" t="s">
        <v>239</v>
      </c>
      <c r="F12" s="28">
        <f t="shared" si="0"/>
        <v>289.60000000000002</v>
      </c>
      <c r="G12" s="33"/>
      <c r="H12" s="33">
        <v>289.60000000000002</v>
      </c>
      <c r="I12" s="33"/>
      <c r="J12" s="28">
        <f t="shared" ref="J12:J18" si="5">K12+L12+M12</f>
        <v>288.3</v>
      </c>
      <c r="K12" s="33"/>
      <c r="L12" s="33">
        <v>288.3</v>
      </c>
      <c r="M12" s="33"/>
      <c r="N12" s="27">
        <f>O12+P12+Q12</f>
        <v>289.7</v>
      </c>
      <c r="O12" s="33"/>
      <c r="P12" s="33">
        <v>289.7</v>
      </c>
      <c r="Q12" s="33"/>
      <c r="R12" s="27">
        <f>S12+T12+U12</f>
        <v>289.7</v>
      </c>
      <c r="S12" s="33"/>
      <c r="T12" s="33">
        <v>289.7</v>
      </c>
      <c r="U12" s="33"/>
      <c r="V12" s="34">
        <f t="shared" si="4"/>
        <v>0.996</v>
      </c>
      <c r="X12" s="18"/>
      <c r="Y12" s="18"/>
      <c r="Z12" s="18"/>
    </row>
    <row r="13" spans="1:27" ht="38.25" customHeight="1">
      <c r="A13" s="24"/>
      <c r="B13" s="35" t="s">
        <v>293</v>
      </c>
      <c r="C13" s="36">
        <v>821</v>
      </c>
      <c r="D13" s="37" t="s">
        <v>19</v>
      </c>
      <c r="E13" s="36" t="s">
        <v>254</v>
      </c>
      <c r="F13" s="28">
        <f t="shared" si="0"/>
        <v>1725.5</v>
      </c>
      <c r="G13" s="33">
        <f>8.3+600+1117.2</f>
        <v>1725.5</v>
      </c>
      <c r="H13" s="33"/>
      <c r="I13" s="33"/>
      <c r="J13" s="28">
        <f t="shared" si="5"/>
        <v>1703.1</v>
      </c>
      <c r="K13" s="33">
        <v>1703.09</v>
      </c>
      <c r="L13" s="33"/>
      <c r="M13" s="33"/>
      <c r="N13" s="27">
        <f t="shared" ref="N13:N18" si="6">O13+P13+Q13</f>
        <v>0</v>
      </c>
      <c r="O13" s="33"/>
      <c r="P13" s="33"/>
      <c r="Q13" s="33"/>
      <c r="R13" s="27">
        <f t="shared" ref="R13:R18" si="7">S13+T13+U13</f>
        <v>0</v>
      </c>
      <c r="S13" s="33"/>
      <c r="T13" s="33"/>
      <c r="U13" s="33"/>
      <c r="V13" s="34">
        <f t="shared" si="4"/>
        <v>0.98699999999999999</v>
      </c>
      <c r="X13" s="18"/>
      <c r="Y13" s="18"/>
    </row>
    <row r="14" spans="1:27" ht="38.25" customHeight="1">
      <c r="A14" s="24"/>
      <c r="B14" s="35" t="s">
        <v>360</v>
      </c>
      <c r="C14" s="36">
        <v>821</v>
      </c>
      <c r="D14" s="37" t="s">
        <v>19</v>
      </c>
      <c r="E14" s="36" t="s">
        <v>359</v>
      </c>
      <c r="F14" s="28">
        <f t="shared" ref="F14" si="8">G14+H14+I14</f>
        <v>380.6</v>
      </c>
      <c r="G14" s="33">
        <v>380.6</v>
      </c>
      <c r="H14" s="33"/>
      <c r="I14" s="33"/>
      <c r="J14" s="28">
        <f t="shared" ref="J14" si="9">K14+L14+M14</f>
        <v>0</v>
      </c>
      <c r="K14" s="33"/>
      <c r="L14" s="33"/>
      <c r="M14" s="33"/>
      <c r="N14" s="27">
        <f t="shared" ref="N14" si="10">O14+P14+Q14</f>
        <v>0</v>
      </c>
      <c r="O14" s="33"/>
      <c r="P14" s="33"/>
      <c r="Q14" s="33"/>
      <c r="R14" s="27">
        <f t="shared" ref="R14" si="11">S14+T14+U14</f>
        <v>0</v>
      </c>
      <c r="S14" s="33"/>
      <c r="T14" s="33"/>
      <c r="U14" s="33"/>
      <c r="V14" s="34">
        <f t="shared" ref="V14" si="12">J14/F14</f>
        <v>0</v>
      </c>
      <c r="X14" s="18"/>
      <c r="Y14" s="18"/>
    </row>
    <row r="15" spans="1:27" ht="57" customHeight="1">
      <c r="A15" s="24"/>
      <c r="B15" s="35" t="s">
        <v>294</v>
      </c>
      <c r="C15" s="36">
        <v>821</v>
      </c>
      <c r="D15" s="37" t="s">
        <v>19</v>
      </c>
      <c r="E15" s="36" t="s">
        <v>249</v>
      </c>
      <c r="F15" s="28">
        <f t="shared" si="0"/>
        <v>65252.800000000003</v>
      </c>
      <c r="G15" s="33">
        <f>37400+29570-600-1117.2</f>
        <v>65252.800000000003</v>
      </c>
      <c r="H15" s="33"/>
      <c r="I15" s="16"/>
      <c r="J15" s="28">
        <f>K15+L15+M15</f>
        <v>0</v>
      </c>
      <c r="K15" s="33"/>
      <c r="L15" s="33"/>
      <c r="M15" s="33"/>
      <c r="N15" s="27">
        <f t="shared" si="6"/>
        <v>0</v>
      </c>
      <c r="O15" s="33"/>
      <c r="P15" s="33"/>
      <c r="Q15" s="33"/>
      <c r="R15" s="27">
        <f t="shared" si="7"/>
        <v>0</v>
      </c>
      <c r="S15" s="33"/>
      <c r="T15" s="33"/>
      <c r="U15" s="33"/>
      <c r="V15" s="34">
        <f t="shared" si="4"/>
        <v>0</v>
      </c>
      <c r="X15" s="18"/>
    </row>
    <row r="16" spans="1:27" ht="76.5" customHeight="1">
      <c r="A16" s="24"/>
      <c r="B16" s="35" t="s">
        <v>330</v>
      </c>
      <c r="C16" s="36">
        <v>821</v>
      </c>
      <c r="D16" s="37" t="s">
        <v>19</v>
      </c>
      <c r="E16" s="36" t="s">
        <v>329</v>
      </c>
      <c r="F16" s="28">
        <f t="shared" ref="F16" si="13">G16+H16+I16</f>
        <v>5255</v>
      </c>
      <c r="G16" s="33">
        <v>5255</v>
      </c>
      <c r="H16" s="33"/>
      <c r="I16" s="33"/>
      <c r="J16" s="28">
        <f t="shared" ref="J16" si="14">K16+L16+M16</f>
        <v>0</v>
      </c>
      <c r="K16" s="33"/>
      <c r="L16" s="33"/>
      <c r="M16" s="33"/>
      <c r="N16" s="27">
        <f t="shared" ref="N16" si="15">O16+P16+Q16</f>
        <v>0</v>
      </c>
      <c r="O16" s="33"/>
      <c r="P16" s="33"/>
      <c r="Q16" s="33"/>
      <c r="R16" s="27">
        <f t="shared" ref="R16" si="16">S16+T16+U16</f>
        <v>0</v>
      </c>
      <c r="S16" s="33"/>
      <c r="T16" s="33"/>
      <c r="U16" s="33"/>
      <c r="V16" s="34">
        <f t="shared" ref="V16" si="17">J16/F16</f>
        <v>0</v>
      </c>
      <c r="X16" s="18"/>
    </row>
    <row r="17" spans="1:24" ht="156.75" customHeight="1">
      <c r="A17" s="24"/>
      <c r="B17" s="38" t="s">
        <v>325</v>
      </c>
      <c r="C17" s="36">
        <v>821</v>
      </c>
      <c r="D17" s="37" t="s">
        <v>19</v>
      </c>
      <c r="E17" s="36" t="s">
        <v>190</v>
      </c>
      <c r="F17" s="28">
        <f t="shared" si="0"/>
        <v>34439.9</v>
      </c>
      <c r="G17" s="33">
        <v>1590.8</v>
      </c>
      <c r="H17" s="33">
        <f>51434.6-18585.5</f>
        <v>32849.1</v>
      </c>
      <c r="I17" s="33"/>
      <c r="J17" s="28">
        <f t="shared" si="5"/>
        <v>29140.7</v>
      </c>
      <c r="K17" s="33">
        <f>60.6+4.7+34.3+67.6+707.1</f>
        <v>874.3</v>
      </c>
      <c r="L17" s="33">
        <f>1960.1+151.6+1109.1+2183.9+22861.7</f>
        <v>28266.400000000001</v>
      </c>
      <c r="M17" s="33"/>
      <c r="N17" s="27">
        <f t="shared" si="6"/>
        <v>0</v>
      </c>
      <c r="O17" s="33"/>
      <c r="P17" s="33"/>
      <c r="Q17" s="33"/>
      <c r="R17" s="27">
        <f t="shared" si="7"/>
        <v>0</v>
      </c>
      <c r="S17" s="33"/>
      <c r="T17" s="33"/>
      <c r="U17" s="33"/>
      <c r="V17" s="34">
        <f t="shared" si="4"/>
        <v>0.84599999999999997</v>
      </c>
      <c r="X17" s="18"/>
    </row>
    <row r="18" spans="1:24" ht="33">
      <c r="A18" s="11" t="s">
        <v>21</v>
      </c>
      <c r="B18" s="25" t="s">
        <v>22</v>
      </c>
      <c r="C18" s="39" t="s">
        <v>12</v>
      </c>
      <c r="D18" s="39" t="s">
        <v>12</v>
      </c>
      <c r="E18" s="26" t="s">
        <v>12</v>
      </c>
      <c r="F18" s="28">
        <f t="shared" si="0"/>
        <v>315680.40000000002</v>
      </c>
      <c r="G18" s="28">
        <f t="shared" ref="G18:H18" si="18">SUM(G20:G27)</f>
        <v>178478.4</v>
      </c>
      <c r="H18" s="28">
        <f t="shared" si="18"/>
        <v>117600.4</v>
      </c>
      <c r="I18" s="28">
        <f t="shared" ref="I18" si="19">SUM(I20:I27)</f>
        <v>19601.599999999999</v>
      </c>
      <c r="J18" s="28">
        <f t="shared" si="5"/>
        <v>303178.40000000002</v>
      </c>
      <c r="K18" s="28">
        <f t="shared" ref="K18:M18" si="20">SUM(K20:K27)</f>
        <v>174045.9</v>
      </c>
      <c r="L18" s="28">
        <f t="shared" si="20"/>
        <v>110112.2</v>
      </c>
      <c r="M18" s="28">
        <f t="shared" si="20"/>
        <v>19020.3</v>
      </c>
      <c r="N18" s="27">
        <f t="shared" si="6"/>
        <v>211086.6</v>
      </c>
      <c r="O18" s="28">
        <f t="shared" ref="O18:T18" si="21">SUM(O20:O27)</f>
        <v>96642.8</v>
      </c>
      <c r="P18" s="28">
        <f t="shared" si="21"/>
        <v>102211.9</v>
      </c>
      <c r="Q18" s="28">
        <f t="shared" si="21"/>
        <v>12231.9</v>
      </c>
      <c r="R18" s="27">
        <f t="shared" si="7"/>
        <v>135491.1</v>
      </c>
      <c r="S18" s="28">
        <f t="shared" si="21"/>
        <v>94389.3</v>
      </c>
      <c r="T18" s="28">
        <f t="shared" si="21"/>
        <v>29351.200000000001</v>
      </c>
      <c r="U18" s="28">
        <f t="shared" ref="U18" si="22">SUM(U20:U27)</f>
        <v>11750.6</v>
      </c>
      <c r="V18" s="40">
        <f t="shared" si="4"/>
        <v>0.96</v>
      </c>
    </row>
    <row r="19" spans="1:24" ht="18.75">
      <c r="A19" s="41"/>
      <c r="B19" s="42" t="s">
        <v>15</v>
      </c>
      <c r="C19" s="32"/>
      <c r="D19" s="32"/>
      <c r="E19" s="32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40"/>
    </row>
    <row r="20" spans="1:24" ht="53.25" customHeight="1">
      <c r="A20" s="41"/>
      <c r="B20" s="43" t="s">
        <v>23</v>
      </c>
      <c r="C20" s="36">
        <v>813</v>
      </c>
      <c r="D20" s="44" t="s">
        <v>24</v>
      </c>
      <c r="E20" s="36" t="s">
        <v>162</v>
      </c>
      <c r="F20" s="28">
        <f t="shared" si="0"/>
        <v>28957.1</v>
      </c>
      <c r="G20" s="33">
        <f>748.1+3578.6</f>
        <v>4326.7</v>
      </c>
      <c r="H20" s="33">
        <v>24185.3</v>
      </c>
      <c r="I20" s="33">
        <v>445.1</v>
      </c>
      <c r="J20" s="27">
        <f t="shared" ref="J20:J28" si="23">K20+L20+M20</f>
        <v>27891.8</v>
      </c>
      <c r="K20" s="33">
        <f>399.3+399.3+2575.9+791.8</f>
        <v>4166.3</v>
      </c>
      <c r="L20" s="33">
        <f>2231.8+2231.9+14398.9+4426.1</f>
        <v>23288.7</v>
      </c>
      <c r="M20" s="33">
        <v>436.8</v>
      </c>
      <c r="N20" s="27">
        <f t="shared" ref="N20:N28" si="24">O20+P20+Q20</f>
        <v>6331.5</v>
      </c>
      <c r="O20" s="33">
        <v>185.7</v>
      </c>
      <c r="P20" s="33">
        <v>6003.7</v>
      </c>
      <c r="Q20" s="33">
        <v>142.1</v>
      </c>
      <c r="R20" s="27">
        <f t="shared" ref="R20:R28" si="25">S20+T20+U20</f>
        <v>6191.1</v>
      </c>
      <c r="S20" s="33">
        <v>185.7</v>
      </c>
      <c r="T20" s="33">
        <v>6005.4</v>
      </c>
      <c r="U20" s="33"/>
      <c r="V20" s="34">
        <f t="shared" si="4"/>
        <v>0.96299999999999997</v>
      </c>
    </row>
    <row r="21" spans="1:24" ht="39" customHeight="1">
      <c r="A21" s="41"/>
      <c r="B21" s="43" t="s">
        <v>132</v>
      </c>
      <c r="C21" s="36">
        <v>821</v>
      </c>
      <c r="D21" s="44" t="s">
        <v>19</v>
      </c>
      <c r="E21" s="36" t="s">
        <v>231</v>
      </c>
      <c r="F21" s="28">
        <f t="shared" si="0"/>
        <v>36850.1</v>
      </c>
      <c r="G21" s="33">
        <v>35000</v>
      </c>
      <c r="H21" s="33"/>
      <c r="I21" s="100">
        <v>1850.1</v>
      </c>
      <c r="J21" s="27">
        <f t="shared" si="23"/>
        <v>36850.1</v>
      </c>
      <c r="K21" s="33">
        <f>14631.2+14667.8+5701</f>
        <v>35000</v>
      </c>
      <c r="L21" s="33"/>
      <c r="M21" s="33">
        <v>1850.1</v>
      </c>
      <c r="N21" s="27">
        <f t="shared" si="24"/>
        <v>0</v>
      </c>
      <c r="O21" s="33"/>
      <c r="P21" s="33"/>
      <c r="Q21" s="33"/>
      <c r="R21" s="27">
        <f t="shared" si="25"/>
        <v>0</v>
      </c>
      <c r="S21" s="33"/>
      <c r="T21" s="33"/>
      <c r="U21" s="33"/>
      <c r="V21" s="34">
        <f t="shared" si="4"/>
        <v>1</v>
      </c>
    </row>
    <row r="22" spans="1:24" ht="78" customHeight="1">
      <c r="A22" s="41"/>
      <c r="B22" s="43" t="s">
        <v>213</v>
      </c>
      <c r="C22" s="36">
        <v>813</v>
      </c>
      <c r="D22" s="37" t="s">
        <v>24</v>
      </c>
      <c r="E22" s="36" t="s">
        <v>212</v>
      </c>
      <c r="F22" s="28">
        <f t="shared" si="0"/>
        <v>47368.4</v>
      </c>
      <c r="G22" s="33">
        <v>45000</v>
      </c>
      <c r="H22" s="33"/>
      <c r="I22" s="33">
        <v>2368.4</v>
      </c>
      <c r="J22" s="27">
        <f t="shared" si="23"/>
        <v>47368.4</v>
      </c>
      <c r="K22" s="33">
        <f>11508.6+2660+30831.4</f>
        <v>45000</v>
      </c>
      <c r="L22" s="33"/>
      <c r="M22" s="33">
        <v>2368.4</v>
      </c>
      <c r="N22" s="27">
        <f t="shared" si="24"/>
        <v>10526.3</v>
      </c>
      <c r="O22" s="33">
        <v>10000</v>
      </c>
      <c r="P22" s="33"/>
      <c r="Q22" s="33">
        <v>526.29999999999995</v>
      </c>
      <c r="R22" s="27">
        <f t="shared" si="25"/>
        <v>10526.3</v>
      </c>
      <c r="S22" s="33">
        <v>10000</v>
      </c>
      <c r="T22" s="33"/>
      <c r="U22" s="33">
        <v>526.29999999999995</v>
      </c>
      <c r="V22" s="34">
        <f t="shared" si="4"/>
        <v>1</v>
      </c>
    </row>
    <row r="23" spans="1:24" ht="134.25" customHeight="1">
      <c r="A23" s="41"/>
      <c r="B23" s="43" t="s">
        <v>25</v>
      </c>
      <c r="C23" s="36">
        <v>813</v>
      </c>
      <c r="D23" s="37" t="s">
        <v>24</v>
      </c>
      <c r="E23" s="36" t="s">
        <v>215</v>
      </c>
      <c r="F23" s="28">
        <f t="shared" si="0"/>
        <v>10283.5</v>
      </c>
      <c r="G23" s="33">
        <v>9000</v>
      </c>
      <c r="H23" s="33"/>
      <c r="I23" s="33">
        <v>1283.5</v>
      </c>
      <c r="J23" s="27">
        <f t="shared" si="23"/>
        <v>10283.5</v>
      </c>
      <c r="K23" s="33">
        <f>3900+2700+2400</f>
        <v>9000</v>
      </c>
      <c r="L23" s="33"/>
      <c r="M23" s="33">
        <v>1283.5</v>
      </c>
      <c r="N23" s="27">
        <f t="shared" si="24"/>
        <v>9589</v>
      </c>
      <c r="O23" s="33">
        <v>9000</v>
      </c>
      <c r="P23" s="33"/>
      <c r="Q23" s="33">
        <v>589</v>
      </c>
      <c r="R23" s="27">
        <f t="shared" si="25"/>
        <v>9529</v>
      </c>
      <c r="S23" s="33">
        <v>9000</v>
      </c>
      <c r="T23" s="33"/>
      <c r="U23" s="33">
        <v>529</v>
      </c>
      <c r="V23" s="34">
        <f t="shared" si="4"/>
        <v>1</v>
      </c>
    </row>
    <row r="24" spans="1:24" ht="49.5">
      <c r="A24" s="41"/>
      <c r="B24" s="43" t="s">
        <v>26</v>
      </c>
      <c r="C24" s="36">
        <v>813</v>
      </c>
      <c r="D24" s="44" t="s">
        <v>24</v>
      </c>
      <c r="E24" s="36" t="s">
        <v>214</v>
      </c>
      <c r="F24" s="28">
        <f t="shared" si="0"/>
        <v>87643</v>
      </c>
      <c r="G24" s="33">
        <f>71646.9+3696.4</f>
        <v>75343.3</v>
      </c>
      <c r="H24" s="33"/>
      <c r="I24" s="33">
        <v>12299.7</v>
      </c>
      <c r="J24" s="27">
        <f t="shared" si="23"/>
        <v>87280.2</v>
      </c>
      <c r="K24" s="33">
        <f>17258.3+9957.3+5553.9+5553.9+5553.8+5553.8+5553.9+5553.9+9011.7+5792.8</f>
        <v>75343.3</v>
      </c>
      <c r="L24" s="33"/>
      <c r="M24" s="33">
        <v>11936.9</v>
      </c>
      <c r="N24" s="27">
        <f t="shared" si="24"/>
        <v>81968.899999999994</v>
      </c>
      <c r="O24" s="33">
        <v>71646.899999999994</v>
      </c>
      <c r="P24" s="33"/>
      <c r="Q24" s="33">
        <v>10322</v>
      </c>
      <c r="R24" s="27">
        <f t="shared" si="25"/>
        <v>82113.5</v>
      </c>
      <c r="S24" s="33">
        <v>71646.899999999994</v>
      </c>
      <c r="T24" s="33"/>
      <c r="U24" s="100">
        <v>10466.57</v>
      </c>
      <c r="V24" s="34">
        <f t="shared" si="4"/>
        <v>0.996</v>
      </c>
    </row>
    <row r="25" spans="1:24" ht="87.75" customHeight="1">
      <c r="A25" s="41"/>
      <c r="B25" s="43" t="s">
        <v>158</v>
      </c>
      <c r="C25" s="36">
        <v>813</v>
      </c>
      <c r="D25" s="37" t="s">
        <v>24</v>
      </c>
      <c r="E25" s="36" t="s">
        <v>159</v>
      </c>
      <c r="F25" s="28">
        <f t="shared" si="0"/>
        <v>8039.5</v>
      </c>
      <c r="G25" s="33">
        <v>3000</v>
      </c>
      <c r="H25" s="33">
        <v>4815.6000000000004</v>
      </c>
      <c r="I25" s="33">
        <v>223.9</v>
      </c>
      <c r="J25" s="27">
        <f t="shared" si="23"/>
        <v>8039.5</v>
      </c>
      <c r="K25" s="33">
        <f>873.6+121.2+116.4+157.3+1712.3+19.2</f>
        <v>3000</v>
      </c>
      <c r="L25" s="33">
        <f>1402.4+194.5+186.8+252.5+2748.6+30.8</f>
        <v>4815.6000000000004</v>
      </c>
      <c r="M25" s="33">
        <v>223.9</v>
      </c>
      <c r="N25" s="27">
        <f t="shared" si="24"/>
        <v>8578.2000000000007</v>
      </c>
      <c r="O25" s="33">
        <v>3000</v>
      </c>
      <c r="P25" s="33">
        <v>5345.8</v>
      </c>
      <c r="Q25" s="33">
        <v>232.4</v>
      </c>
      <c r="R25" s="27">
        <f t="shared" si="25"/>
        <v>8574.5</v>
      </c>
      <c r="S25" s="33">
        <v>3000</v>
      </c>
      <c r="T25" s="33">
        <v>5345.8</v>
      </c>
      <c r="U25" s="33">
        <v>228.7</v>
      </c>
      <c r="V25" s="34">
        <f t="shared" si="4"/>
        <v>1</v>
      </c>
    </row>
    <row r="26" spans="1:24" ht="75" customHeight="1">
      <c r="A26" s="41"/>
      <c r="B26" s="43" t="s">
        <v>160</v>
      </c>
      <c r="C26" s="36">
        <v>821</v>
      </c>
      <c r="D26" s="37" t="s">
        <v>19</v>
      </c>
      <c r="E26" s="36" t="s">
        <v>161</v>
      </c>
      <c r="F26" s="28">
        <f t="shared" si="0"/>
        <v>51411.8</v>
      </c>
      <c r="G26" s="33">
        <v>5478.5</v>
      </c>
      <c r="H26" s="33">
        <f>177137.6-131538.1</f>
        <v>45599.5</v>
      </c>
      <c r="I26" s="33">
        <v>333.8</v>
      </c>
      <c r="J26" s="27">
        <f t="shared" si="23"/>
        <v>47343.6</v>
      </c>
      <c r="K26" s="33">
        <f>275.7+633.7+500.9</f>
        <v>1410.3</v>
      </c>
      <c r="L26" s="33">
        <f>8914.3+20488.5+16196.7</f>
        <v>45599.5</v>
      </c>
      <c r="M26" s="33">
        <v>333.8</v>
      </c>
      <c r="N26" s="27">
        <f t="shared" si="24"/>
        <v>75536</v>
      </c>
      <c r="O26" s="33">
        <v>2253.5</v>
      </c>
      <c r="P26" s="33">
        <v>72862.399999999994</v>
      </c>
      <c r="Q26" s="33">
        <v>420.1</v>
      </c>
      <c r="R26" s="27">
        <f t="shared" si="25"/>
        <v>0</v>
      </c>
      <c r="S26" s="33"/>
      <c r="T26" s="33"/>
      <c r="U26" s="33">
        <v>0</v>
      </c>
      <c r="V26" s="34">
        <f t="shared" si="4"/>
        <v>0.92100000000000004</v>
      </c>
    </row>
    <row r="27" spans="1:24" ht="65.25" customHeight="1">
      <c r="A27" s="41"/>
      <c r="B27" s="43" t="s">
        <v>163</v>
      </c>
      <c r="C27" s="36">
        <v>813</v>
      </c>
      <c r="D27" s="37" t="s">
        <v>24</v>
      </c>
      <c r="E27" s="36" t="s">
        <v>164</v>
      </c>
      <c r="F27" s="28">
        <f t="shared" si="0"/>
        <v>45127</v>
      </c>
      <c r="G27" s="33">
        <v>1329.9</v>
      </c>
      <c r="H27" s="33">
        <v>43000</v>
      </c>
      <c r="I27" s="33">
        <v>797.1</v>
      </c>
      <c r="J27" s="27">
        <f t="shared" si="23"/>
        <v>38121.300000000003</v>
      </c>
      <c r="K27" s="33">
        <f>57.3+155+189.8+409.8+151+60.4+102.7</f>
        <v>1126</v>
      </c>
      <c r="L27" s="33">
        <f>1853.5+5013+6135.4+13248.7+4882.1+1954+3321.7</f>
        <v>36408.400000000001</v>
      </c>
      <c r="M27" s="33">
        <v>586.9</v>
      </c>
      <c r="N27" s="27">
        <f t="shared" si="24"/>
        <v>18556.7</v>
      </c>
      <c r="O27" s="33">
        <v>556.70000000000005</v>
      </c>
      <c r="P27" s="33">
        <v>18000</v>
      </c>
      <c r="Q27" s="33"/>
      <c r="R27" s="27">
        <f t="shared" si="25"/>
        <v>18556.7</v>
      </c>
      <c r="S27" s="33">
        <v>556.70000000000005</v>
      </c>
      <c r="T27" s="33">
        <v>18000</v>
      </c>
      <c r="U27" s="33"/>
      <c r="V27" s="34">
        <f t="shared" si="4"/>
        <v>0.84499999999999997</v>
      </c>
    </row>
    <row r="28" spans="1:24" ht="42" customHeight="1">
      <c r="A28" s="11" t="s">
        <v>27</v>
      </c>
      <c r="B28" s="25" t="s">
        <v>316</v>
      </c>
      <c r="C28" s="39" t="s">
        <v>12</v>
      </c>
      <c r="D28" s="39" t="s">
        <v>12</v>
      </c>
      <c r="E28" s="26" t="s">
        <v>12</v>
      </c>
      <c r="F28" s="28">
        <f t="shared" si="0"/>
        <v>2096604.2</v>
      </c>
      <c r="G28" s="28">
        <f>SUM(G30:G35)</f>
        <v>1249082.3999999999</v>
      </c>
      <c r="H28" s="28">
        <f>SUM(H30:H35)</f>
        <v>816146.5</v>
      </c>
      <c r="I28" s="28">
        <f>SUM(I30:I35)</f>
        <v>31375.3</v>
      </c>
      <c r="J28" s="28">
        <f t="shared" si="23"/>
        <v>1818946.1</v>
      </c>
      <c r="K28" s="28">
        <f>SUM(K30:K35)</f>
        <v>1090034.3</v>
      </c>
      <c r="L28" s="28">
        <f>SUM(L30:L35)</f>
        <v>697905.8</v>
      </c>
      <c r="M28" s="28">
        <f>SUM(M30:M35)</f>
        <v>31006</v>
      </c>
      <c r="N28" s="27">
        <f t="shared" si="24"/>
        <v>16787</v>
      </c>
      <c r="O28" s="28">
        <f>SUM(O30:O35)</f>
        <v>503.6</v>
      </c>
      <c r="P28" s="28">
        <f>SUM(P30:P35)</f>
        <v>16283.4</v>
      </c>
      <c r="Q28" s="28">
        <f>SUM(Q30:Q35)</f>
        <v>0</v>
      </c>
      <c r="R28" s="27">
        <f t="shared" si="25"/>
        <v>9202</v>
      </c>
      <c r="S28" s="28">
        <f>SUM(S30:S35)</f>
        <v>276.10000000000002</v>
      </c>
      <c r="T28" s="28">
        <f>SUM(T30:T35)</f>
        <v>8925.9</v>
      </c>
      <c r="U28" s="28">
        <f>SUM(U30:U35)</f>
        <v>0</v>
      </c>
      <c r="V28" s="29">
        <f t="shared" si="4"/>
        <v>0.86799999999999999</v>
      </c>
    </row>
    <row r="29" spans="1:24" ht="18.75">
      <c r="A29" s="24"/>
      <c r="B29" s="42" t="s">
        <v>15</v>
      </c>
      <c r="C29" s="32"/>
      <c r="D29" s="32"/>
      <c r="E29" s="32"/>
      <c r="F29" s="28"/>
      <c r="G29" s="28"/>
      <c r="H29" s="28"/>
      <c r="I29" s="28"/>
      <c r="J29" s="28"/>
      <c r="K29" s="28"/>
      <c r="L29" s="28"/>
      <c r="M29" s="28"/>
      <c r="N29" s="27"/>
      <c r="O29" s="28"/>
      <c r="P29" s="28"/>
      <c r="Q29" s="28"/>
      <c r="R29" s="27"/>
      <c r="S29" s="28"/>
      <c r="T29" s="28"/>
      <c r="U29" s="28"/>
      <c r="V29" s="29"/>
    </row>
    <row r="30" spans="1:24" ht="73.5" customHeight="1">
      <c r="A30" s="24"/>
      <c r="B30" s="45" t="s">
        <v>347</v>
      </c>
      <c r="C30" s="36">
        <v>815</v>
      </c>
      <c r="D30" s="37" t="s">
        <v>50</v>
      </c>
      <c r="E30" s="36" t="s">
        <v>256</v>
      </c>
      <c r="F30" s="28">
        <f t="shared" si="0"/>
        <v>82158</v>
      </c>
      <c r="G30" s="33">
        <f>9055+9699.4+53689.3</f>
        <v>72443.7</v>
      </c>
      <c r="H30" s="33"/>
      <c r="I30" s="59">
        <v>9714.2999999999993</v>
      </c>
      <c r="J30" s="28">
        <f t="shared" ref="J30:J36" si="26">K30+L30+M30</f>
        <v>82152.899999999994</v>
      </c>
      <c r="K30" s="33">
        <f>18763.5+53680.2</f>
        <v>72443.7</v>
      </c>
      <c r="L30" s="33"/>
      <c r="M30" s="33">
        <v>9709.2000000000007</v>
      </c>
      <c r="N30" s="27">
        <f t="shared" ref="N30:N36" si="27">O30+P30+Q30</f>
        <v>0</v>
      </c>
      <c r="O30" s="33"/>
      <c r="P30" s="33"/>
      <c r="Q30" s="33"/>
      <c r="R30" s="27">
        <f t="shared" ref="R30:R36" si="28">S30+T30+U30</f>
        <v>0</v>
      </c>
      <c r="S30" s="33"/>
      <c r="T30" s="33"/>
      <c r="U30" s="33"/>
      <c r="V30" s="34">
        <f t="shared" si="4"/>
        <v>1</v>
      </c>
    </row>
    <row r="31" spans="1:24" ht="60" customHeight="1">
      <c r="A31" s="24"/>
      <c r="B31" s="46" t="s">
        <v>334</v>
      </c>
      <c r="C31" s="36">
        <v>815</v>
      </c>
      <c r="D31" s="37" t="s">
        <v>50</v>
      </c>
      <c r="E31" s="36" t="s">
        <v>333</v>
      </c>
      <c r="F31" s="28">
        <f t="shared" ref="F31" si="29">G31+H31+I31</f>
        <v>19689.8</v>
      </c>
      <c r="G31" s="33"/>
      <c r="H31" s="33"/>
      <c r="I31" s="33">
        <v>19689.8</v>
      </c>
      <c r="J31" s="28">
        <f t="shared" ref="J31" si="30">K31+L31+M31</f>
        <v>19684.8</v>
      </c>
      <c r="K31" s="33"/>
      <c r="L31" s="33"/>
      <c r="M31" s="33">
        <v>19684.8</v>
      </c>
      <c r="N31" s="27">
        <f t="shared" ref="N31" si="31">O31+P31+Q31</f>
        <v>0</v>
      </c>
      <c r="O31" s="33"/>
      <c r="P31" s="33"/>
      <c r="Q31" s="33"/>
      <c r="R31" s="27">
        <f t="shared" ref="R31" si="32">S31+T31+U31</f>
        <v>0</v>
      </c>
      <c r="S31" s="33"/>
      <c r="T31" s="33"/>
      <c r="U31" s="33"/>
      <c r="V31" s="34"/>
    </row>
    <row r="32" spans="1:24" ht="160.5" customHeight="1">
      <c r="A32" s="24"/>
      <c r="B32" s="47" t="s">
        <v>179</v>
      </c>
      <c r="C32" s="36">
        <v>815</v>
      </c>
      <c r="D32" s="37" t="s">
        <v>50</v>
      </c>
      <c r="E32" s="36" t="s">
        <v>180</v>
      </c>
      <c r="F32" s="28">
        <f t="shared" si="0"/>
        <v>24680</v>
      </c>
      <c r="G32" s="33">
        <v>740.4</v>
      </c>
      <c r="H32" s="33">
        <v>23939.599999999999</v>
      </c>
      <c r="I32" s="33">
        <v>0</v>
      </c>
      <c r="J32" s="28">
        <f t="shared" si="26"/>
        <v>18194</v>
      </c>
      <c r="K32" s="33">
        <f>39+215.7+4.6+36.1+6.5+81.2+162.7</f>
        <v>545.79999999999995</v>
      </c>
      <c r="L32" s="33">
        <f>1261+6973.9+149.3+1168.7+210.2+2625.5+5259.6</f>
        <v>17648.2</v>
      </c>
      <c r="M32" s="33">
        <v>0</v>
      </c>
      <c r="N32" s="27">
        <f t="shared" si="27"/>
        <v>6787</v>
      </c>
      <c r="O32" s="33">
        <v>203.6</v>
      </c>
      <c r="P32" s="33">
        <v>6583.4</v>
      </c>
      <c r="Q32" s="33"/>
      <c r="R32" s="27">
        <f t="shared" si="28"/>
        <v>3702</v>
      </c>
      <c r="S32" s="33">
        <v>111.1</v>
      </c>
      <c r="T32" s="33">
        <v>3590.9</v>
      </c>
      <c r="U32" s="33"/>
      <c r="V32" s="34">
        <f t="shared" si="4"/>
        <v>0.73699999999999999</v>
      </c>
    </row>
    <row r="33" spans="1:22" ht="93" customHeight="1">
      <c r="A33" s="24"/>
      <c r="B33" s="43" t="s">
        <v>28</v>
      </c>
      <c r="C33" s="36">
        <v>821</v>
      </c>
      <c r="D33" s="37" t="s">
        <v>19</v>
      </c>
      <c r="E33" s="36" t="s">
        <v>178</v>
      </c>
      <c r="F33" s="28">
        <f t="shared" si="0"/>
        <v>1690139.1</v>
      </c>
      <c r="G33" s="33">
        <f>933102.8-27160.8</f>
        <v>905942</v>
      </c>
      <c r="H33" s="33">
        <f>802653.9-20147</f>
        <v>782506.9</v>
      </c>
      <c r="I33" s="33">
        <v>1690.2</v>
      </c>
      <c r="J33" s="28">
        <f t="shared" si="26"/>
        <v>1419098.7</v>
      </c>
      <c r="K33" s="33">
        <f>128949.3+36606.6+76063+68439.9+154265.7+41429.2+96743.2+144625</f>
        <v>747121.9</v>
      </c>
      <c r="L33" s="33">
        <f>117299+32972.7+79391.3+65769.2+147270.5+39927.7+79149.1+108778.1</f>
        <v>670557.6</v>
      </c>
      <c r="M33" s="33">
        <v>1419.2</v>
      </c>
      <c r="N33" s="27">
        <f t="shared" si="27"/>
        <v>0</v>
      </c>
      <c r="O33" s="33"/>
      <c r="P33" s="33"/>
      <c r="Q33" s="33"/>
      <c r="R33" s="27">
        <f t="shared" si="28"/>
        <v>0</v>
      </c>
      <c r="S33" s="33"/>
      <c r="T33" s="33"/>
      <c r="U33" s="33"/>
      <c r="V33" s="34">
        <f t="shared" si="4"/>
        <v>0.84</v>
      </c>
    </row>
    <row r="34" spans="1:22" ht="89.25" customHeight="1">
      <c r="A34" s="24"/>
      <c r="B34" s="43" t="s">
        <v>28</v>
      </c>
      <c r="C34" s="36">
        <v>821</v>
      </c>
      <c r="D34" s="37" t="s">
        <v>19</v>
      </c>
      <c r="E34" s="36" t="s">
        <v>323</v>
      </c>
      <c r="F34" s="28">
        <f t="shared" si="0"/>
        <v>269937.3</v>
      </c>
      <c r="G34" s="33">
        <f>280679.5-11023.2</f>
        <v>269656.3</v>
      </c>
      <c r="H34" s="33"/>
      <c r="I34" s="33">
        <v>281</v>
      </c>
      <c r="J34" s="28">
        <f t="shared" si="26"/>
        <v>269815.7</v>
      </c>
      <c r="K34" s="33">
        <f>1522.6+9522.2+2697.9+24742.8+4689.5+15040.7+27757.6+183649.6</f>
        <v>269622.90000000002</v>
      </c>
      <c r="L34" s="33"/>
      <c r="M34" s="33">
        <v>192.8</v>
      </c>
      <c r="N34" s="27">
        <f t="shared" si="27"/>
        <v>0</v>
      </c>
      <c r="O34" s="33"/>
      <c r="P34" s="33"/>
      <c r="Q34" s="33"/>
      <c r="R34" s="27">
        <f t="shared" si="28"/>
        <v>0</v>
      </c>
      <c r="S34" s="33"/>
      <c r="T34" s="33"/>
      <c r="U34" s="33"/>
      <c r="V34" s="34"/>
    </row>
    <row r="35" spans="1:22" ht="33">
      <c r="A35" s="24"/>
      <c r="B35" s="43" t="s">
        <v>141</v>
      </c>
      <c r="C35" s="36">
        <v>839</v>
      </c>
      <c r="D35" s="44" t="s">
        <v>16</v>
      </c>
      <c r="E35" s="36" t="s">
        <v>274</v>
      </c>
      <c r="F35" s="28">
        <f t="shared" si="0"/>
        <v>10000</v>
      </c>
      <c r="G35" s="33">
        <v>300</v>
      </c>
      <c r="H35" s="33">
        <v>9700</v>
      </c>
      <c r="I35" s="33"/>
      <c r="J35" s="28">
        <f t="shared" si="26"/>
        <v>10000</v>
      </c>
      <c r="K35" s="33">
        <f>1.8+0.2+4.1+15.2+2.6+276.1</f>
        <v>300</v>
      </c>
      <c r="L35" s="33">
        <f>59.1+5.5+132.4+491.2+83.3+8928.5</f>
        <v>9700</v>
      </c>
      <c r="M35" s="33"/>
      <c r="N35" s="27">
        <f t="shared" si="27"/>
        <v>10000</v>
      </c>
      <c r="O35" s="33">
        <v>300</v>
      </c>
      <c r="P35" s="33">
        <v>9700</v>
      </c>
      <c r="Q35" s="33"/>
      <c r="R35" s="27">
        <f t="shared" si="28"/>
        <v>5500</v>
      </c>
      <c r="S35" s="33">
        <v>165</v>
      </c>
      <c r="T35" s="33">
        <v>5335</v>
      </c>
      <c r="U35" s="33"/>
      <c r="V35" s="34">
        <f t="shared" si="4"/>
        <v>1</v>
      </c>
    </row>
    <row r="36" spans="1:22" ht="33">
      <c r="A36" s="11" t="s">
        <v>29</v>
      </c>
      <c r="B36" s="25" t="s">
        <v>30</v>
      </c>
      <c r="C36" s="39" t="s">
        <v>12</v>
      </c>
      <c r="D36" s="39" t="s">
        <v>12</v>
      </c>
      <c r="E36" s="26" t="s">
        <v>12</v>
      </c>
      <c r="F36" s="28">
        <f t="shared" si="0"/>
        <v>1958998.6</v>
      </c>
      <c r="G36" s="28">
        <f>SUM(G38:G41)</f>
        <v>521713.2</v>
      </c>
      <c r="H36" s="28">
        <f>SUM(H38:H41)</f>
        <v>1437285.4</v>
      </c>
      <c r="I36" s="28">
        <f t="shared" ref="I36" si="33">SUM(I38:I41)</f>
        <v>0</v>
      </c>
      <c r="J36" s="28">
        <f t="shared" si="26"/>
        <v>1858641.7</v>
      </c>
      <c r="K36" s="28">
        <f t="shared" ref="K36:M36" si="34">SUM(K38:K41)</f>
        <v>434224.6</v>
      </c>
      <c r="L36" s="28">
        <f t="shared" si="34"/>
        <v>1424417.1</v>
      </c>
      <c r="M36" s="28">
        <f t="shared" si="34"/>
        <v>0</v>
      </c>
      <c r="N36" s="27">
        <f t="shared" si="27"/>
        <v>2035919.6</v>
      </c>
      <c r="O36" s="28">
        <f t="shared" ref="O36:T36" si="35">SUM(O38:O41)</f>
        <v>295666.5</v>
      </c>
      <c r="P36" s="28">
        <f t="shared" si="35"/>
        <v>1740253.1</v>
      </c>
      <c r="Q36" s="28">
        <f t="shared" si="35"/>
        <v>0</v>
      </c>
      <c r="R36" s="27">
        <f t="shared" si="28"/>
        <v>1844687.5</v>
      </c>
      <c r="S36" s="28">
        <f t="shared" si="35"/>
        <v>103881.2</v>
      </c>
      <c r="T36" s="28">
        <f t="shared" si="35"/>
        <v>1740806.3</v>
      </c>
      <c r="U36" s="28">
        <f t="shared" ref="U36" si="36">SUM(U38:U41)</f>
        <v>0</v>
      </c>
      <c r="V36" s="29">
        <f t="shared" si="4"/>
        <v>0.94899999999999995</v>
      </c>
    </row>
    <row r="37" spans="1:22" ht="18.75">
      <c r="A37" s="24"/>
      <c r="B37" s="42" t="s">
        <v>15</v>
      </c>
      <c r="C37" s="32"/>
      <c r="D37" s="44"/>
      <c r="E37" s="32"/>
      <c r="F37" s="28"/>
      <c r="G37" s="28"/>
      <c r="H37" s="28"/>
      <c r="I37" s="28"/>
      <c r="J37" s="28"/>
      <c r="K37" s="28"/>
      <c r="L37" s="28"/>
      <c r="M37" s="28"/>
      <c r="N37" s="27"/>
      <c r="O37" s="28"/>
      <c r="P37" s="28"/>
      <c r="Q37" s="28"/>
      <c r="R37" s="27"/>
      <c r="S37" s="28"/>
      <c r="T37" s="28"/>
      <c r="U37" s="28"/>
      <c r="V37" s="29"/>
    </row>
    <row r="38" spans="1:22" ht="40.5" customHeight="1">
      <c r="A38" s="24"/>
      <c r="B38" s="43" t="s">
        <v>31</v>
      </c>
      <c r="C38" s="36">
        <v>809</v>
      </c>
      <c r="D38" s="37" t="s">
        <v>20</v>
      </c>
      <c r="E38" s="36" t="s">
        <v>189</v>
      </c>
      <c r="F38" s="28">
        <f>G38+H38+I38</f>
        <v>1151968.8999999999</v>
      </c>
      <c r="G38" s="33"/>
      <c r="H38" s="33">
        <f>1025023.9+132654.5-5709.5</f>
        <v>1151968.8999999999</v>
      </c>
      <c r="I38" s="33"/>
      <c r="J38" s="28">
        <f t="shared" ref="J38:J41" si="37">K38+L38+M38</f>
        <v>1140904.8</v>
      </c>
      <c r="K38" s="33"/>
      <c r="L38" s="33">
        <f>482092.8+96529.7+94402.4+92164.1+92455.1+92839.5+89897.9+100523.3</f>
        <v>1140904.8</v>
      </c>
      <c r="M38" s="33"/>
      <c r="N38" s="27">
        <f t="shared" ref="N38:N41" si="38">O38+P38+Q38</f>
        <v>1036285.9</v>
      </c>
      <c r="O38" s="33"/>
      <c r="P38" s="33">
        <v>1036285.9</v>
      </c>
      <c r="Q38" s="33"/>
      <c r="R38" s="27">
        <f t="shared" ref="R38:R41" si="39">S38+T38+U38</f>
        <v>1045601.6</v>
      </c>
      <c r="S38" s="33"/>
      <c r="T38" s="33">
        <v>1045601.6</v>
      </c>
      <c r="U38" s="33"/>
      <c r="V38" s="34">
        <f t="shared" si="4"/>
        <v>0.99</v>
      </c>
    </row>
    <row r="39" spans="1:22" ht="87" customHeight="1">
      <c r="A39" s="24"/>
      <c r="B39" s="43" t="s">
        <v>292</v>
      </c>
      <c r="C39" s="36">
        <v>809</v>
      </c>
      <c r="D39" s="37" t="s">
        <v>20</v>
      </c>
      <c r="E39" s="36" t="s">
        <v>210</v>
      </c>
      <c r="F39" s="28">
        <f t="shared" si="0"/>
        <v>463274.9</v>
      </c>
      <c r="G39" s="33">
        <f>487907-12672.4-11959.7</f>
        <v>463274.9</v>
      </c>
      <c r="H39" s="33"/>
      <c r="I39" s="33"/>
      <c r="J39" s="28">
        <f t="shared" si="37"/>
        <v>376155.8</v>
      </c>
      <c r="K39" s="33">
        <f>352272.2+23883.6</f>
        <v>376155.8</v>
      </c>
      <c r="L39" s="33"/>
      <c r="M39" s="33"/>
      <c r="N39" s="27">
        <f t="shared" si="38"/>
        <v>190476</v>
      </c>
      <c r="O39" s="33">
        <v>190476</v>
      </c>
      <c r="P39" s="33"/>
      <c r="Q39" s="33"/>
      <c r="R39" s="27">
        <f t="shared" si="39"/>
        <v>0</v>
      </c>
      <c r="S39" s="33"/>
      <c r="T39" s="33"/>
      <c r="U39" s="33"/>
      <c r="V39" s="34">
        <f t="shared" si="4"/>
        <v>0.81200000000000006</v>
      </c>
    </row>
    <row r="40" spans="1:22" ht="74.25" customHeight="1">
      <c r="A40" s="24"/>
      <c r="B40" s="43" t="s">
        <v>32</v>
      </c>
      <c r="C40" s="36">
        <v>809</v>
      </c>
      <c r="D40" s="37" t="s">
        <v>20</v>
      </c>
      <c r="E40" s="36" t="s">
        <v>188</v>
      </c>
      <c r="F40" s="28">
        <f t="shared" ref="F40" si="40">G40+H40+I40</f>
        <v>269211.2</v>
      </c>
      <c r="G40" s="33">
        <f>44500.2+1265.7</f>
        <v>45765.9</v>
      </c>
      <c r="H40" s="33">
        <f>217265.7+6179.6</f>
        <v>223445.3</v>
      </c>
      <c r="I40" s="33"/>
      <c r="J40" s="27">
        <f t="shared" ref="J40" si="41">K40+L40+M40</f>
        <v>267037.5</v>
      </c>
      <c r="K40" s="33">
        <f>44494.1+902.3</f>
        <v>45396.4</v>
      </c>
      <c r="L40" s="33">
        <f>98929.6+23445+23302+25883+26756.4+18920.2+4404.9</f>
        <v>221641.1</v>
      </c>
      <c r="M40" s="33"/>
      <c r="N40" s="27">
        <f t="shared" ref="N40" si="42">O40+P40+Q40</f>
        <v>809157.7</v>
      </c>
      <c r="O40" s="33">
        <v>105190.5</v>
      </c>
      <c r="P40" s="33">
        <v>703967.2</v>
      </c>
      <c r="Q40" s="33"/>
      <c r="R40" s="27">
        <f t="shared" ref="R40" si="43">S40+T40+U40</f>
        <v>799085.9</v>
      </c>
      <c r="S40" s="33">
        <v>103881.2</v>
      </c>
      <c r="T40" s="33">
        <v>695204.7</v>
      </c>
      <c r="U40" s="33"/>
      <c r="V40" s="34">
        <f t="shared" ref="V40" si="44">J40/F40</f>
        <v>0.99199999999999999</v>
      </c>
    </row>
    <row r="41" spans="1:22" ht="92.25" customHeight="1">
      <c r="A41" s="24"/>
      <c r="B41" s="43" t="s">
        <v>367</v>
      </c>
      <c r="C41" s="36">
        <v>809</v>
      </c>
      <c r="D41" s="37" t="s">
        <v>20</v>
      </c>
      <c r="E41" s="36" t="s">
        <v>366</v>
      </c>
      <c r="F41" s="28">
        <f t="shared" si="0"/>
        <v>74543.600000000006</v>
      </c>
      <c r="G41" s="33">
        <v>12672.4</v>
      </c>
      <c r="H41" s="33">
        <v>61871.199999999997</v>
      </c>
      <c r="I41" s="33"/>
      <c r="J41" s="27">
        <f t="shared" si="37"/>
        <v>74543.600000000006</v>
      </c>
      <c r="K41" s="33">
        <f>7603.8+5068.6</f>
        <v>12672.4</v>
      </c>
      <c r="L41" s="33">
        <f>37124.3+24746.9</f>
        <v>61871.199999999997</v>
      </c>
      <c r="M41" s="33"/>
      <c r="N41" s="27">
        <f t="shared" si="38"/>
        <v>0</v>
      </c>
      <c r="O41" s="33"/>
      <c r="P41" s="33"/>
      <c r="Q41" s="33"/>
      <c r="R41" s="27">
        <f t="shared" si="39"/>
        <v>0</v>
      </c>
      <c r="S41" s="33"/>
      <c r="T41" s="33"/>
      <c r="U41" s="33"/>
      <c r="V41" s="34">
        <f t="shared" si="4"/>
        <v>1</v>
      </c>
    </row>
    <row r="42" spans="1:22" ht="24" customHeight="1">
      <c r="A42" s="21" t="s">
        <v>33</v>
      </c>
      <c r="B42" s="48" t="s">
        <v>34</v>
      </c>
      <c r="C42" s="49" t="s">
        <v>12</v>
      </c>
      <c r="D42" s="49" t="s">
        <v>12</v>
      </c>
      <c r="E42" s="49" t="s">
        <v>12</v>
      </c>
      <c r="F42" s="50">
        <f t="shared" si="0"/>
        <v>4081376</v>
      </c>
      <c r="G42" s="50">
        <f>G43+G48+G52+G55</f>
        <v>949346.7</v>
      </c>
      <c r="H42" s="50">
        <f>H43+H48+H52+H55</f>
        <v>3132029.3</v>
      </c>
      <c r="I42" s="50">
        <f>I43+I48+I52+I55</f>
        <v>0</v>
      </c>
      <c r="J42" s="50">
        <f t="shared" ref="J42:J43" si="45">K42+L42+M42</f>
        <v>1821021.7</v>
      </c>
      <c r="K42" s="50">
        <f>K43+K48+K52+K55</f>
        <v>498847.7</v>
      </c>
      <c r="L42" s="50">
        <f>L43+L48+L52+L55</f>
        <v>1322174</v>
      </c>
      <c r="M42" s="50">
        <f>M43+M48+M52+M55</f>
        <v>0</v>
      </c>
      <c r="N42" s="50">
        <f t="shared" ref="N42:N43" si="46">O42+P42+Q42</f>
        <v>624926.4</v>
      </c>
      <c r="O42" s="50">
        <f>O43+O48+O52+O55</f>
        <v>145833.79999999999</v>
      </c>
      <c r="P42" s="50">
        <f>P43+P48+P52+P55</f>
        <v>479092.6</v>
      </c>
      <c r="Q42" s="50">
        <f>Q43+Q48+Q52+Q55</f>
        <v>0</v>
      </c>
      <c r="R42" s="50">
        <f t="shared" ref="R42:R43" si="47">S42+T42+U42</f>
        <v>417127</v>
      </c>
      <c r="S42" s="50">
        <f>S43+S48+S52+S55</f>
        <v>158561.29999999999</v>
      </c>
      <c r="T42" s="50">
        <f>T43+T48+T52+T55</f>
        <v>258565.7</v>
      </c>
      <c r="U42" s="50">
        <f>U43+U48+U52+U55</f>
        <v>0</v>
      </c>
      <c r="V42" s="51">
        <f t="shared" si="4"/>
        <v>0.44600000000000001</v>
      </c>
    </row>
    <row r="43" spans="1:22" ht="57" customHeight="1">
      <c r="A43" s="24" t="s">
        <v>35</v>
      </c>
      <c r="B43" s="52" t="s">
        <v>36</v>
      </c>
      <c r="C43" s="26" t="s">
        <v>12</v>
      </c>
      <c r="D43" s="26" t="s">
        <v>12</v>
      </c>
      <c r="E43" s="26" t="s">
        <v>12</v>
      </c>
      <c r="F43" s="28">
        <f t="shared" si="0"/>
        <v>468079.2</v>
      </c>
      <c r="G43" s="28">
        <f>SUM(G45:G47)</f>
        <v>304332.7</v>
      </c>
      <c r="H43" s="28">
        <f>SUM(H45:H47)</f>
        <v>163746.5</v>
      </c>
      <c r="I43" s="28">
        <f>SUM(I45:I47)</f>
        <v>0</v>
      </c>
      <c r="J43" s="28">
        <f t="shared" si="45"/>
        <v>467456.7</v>
      </c>
      <c r="K43" s="28">
        <f>SUM(K45:K47)</f>
        <v>304332.7</v>
      </c>
      <c r="L43" s="28">
        <f>SUM(L45:L47)</f>
        <v>163124</v>
      </c>
      <c r="M43" s="28">
        <f>SUM(M45:M47)</f>
        <v>0</v>
      </c>
      <c r="N43" s="28">
        <f t="shared" si="46"/>
        <v>226690.3</v>
      </c>
      <c r="O43" s="28">
        <f>SUM(O45:O47)</f>
        <v>126625.1</v>
      </c>
      <c r="P43" s="28">
        <f>SUM(P45:P47)</f>
        <v>100065.2</v>
      </c>
      <c r="Q43" s="28">
        <f>SUM(Q45:Q47)</f>
        <v>0</v>
      </c>
      <c r="R43" s="28">
        <f t="shared" si="47"/>
        <v>226690.3</v>
      </c>
      <c r="S43" s="28">
        <f>SUM(S45:S47)</f>
        <v>139352.6</v>
      </c>
      <c r="T43" s="28">
        <f>SUM(T45:T47)</f>
        <v>87337.7</v>
      </c>
      <c r="U43" s="28">
        <f>SUM(U45:U47)</f>
        <v>0</v>
      </c>
      <c r="V43" s="40">
        <f t="shared" si="4"/>
        <v>0.999</v>
      </c>
    </row>
    <row r="44" spans="1:22" ht="24" customHeight="1">
      <c r="A44" s="41"/>
      <c r="B44" s="42" t="s">
        <v>15</v>
      </c>
      <c r="C44" s="32"/>
      <c r="D44" s="32"/>
      <c r="E44" s="32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40"/>
    </row>
    <row r="45" spans="1:22" ht="36.75" customHeight="1">
      <c r="A45" s="41"/>
      <c r="B45" s="43" t="s">
        <v>37</v>
      </c>
      <c r="C45" s="36">
        <v>811</v>
      </c>
      <c r="D45" s="37" t="s">
        <v>17</v>
      </c>
      <c r="E45" s="36" t="s">
        <v>211</v>
      </c>
      <c r="F45" s="28">
        <f t="shared" si="0"/>
        <v>217760</v>
      </c>
      <c r="G45" s="33">
        <f>40390.3+140000+37369.7</f>
        <v>217760</v>
      </c>
      <c r="H45" s="33"/>
      <c r="I45" s="33"/>
      <c r="J45" s="28">
        <f t="shared" ref="J45:J48" si="48">K45+L45+M45</f>
        <v>217760</v>
      </c>
      <c r="K45" s="33">
        <f>40390.3+60000+60000+20000+37369.7</f>
        <v>217760</v>
      </c>
      <c r="L45" s="33"/>
      <c r="M45" s="33"/>
      <c r="N45" s="27">
        <f t="shared" ref="N45:N48" si="49">O45+P45+Q45</f>
        <v>28690.3</v>
      </c>
      <c r="O45" s="33">
        <v>28690.3</v>
      </c>
      <c r="P45" s="33"/>
      <c r="Q45" s="33"/>
      <c r="R45" s="27">
        <f t="shared" ref="R45:R48" si="50">S45+T45+U45</f>
        <v>28690.3</v>
      </c>
      <c r="S45" s="33">
        <v>28690.3</v>
      </c>
      <c r="T45" s="33"/>
      <c r="U45" s="33"/>
      <c r="V45" s="34">
        <f t="shared" si="4"/>
        <v>1</v>
      </c>
    </row>
    <row r="46" spans="1:22" ht="42.75" customHeight="1">
      <c r="A46" s="41"/>
      <c r="B46" s="43" t="s">
        <v>308</v>
      </c>
      <c r="C46" s="36">
        <v>811</v>
      </c>
      <c r="D46" s="37" t="s">
        <v>17</v>
      </c>
      <c r="E46" s="36" t="s">
        <v>150</v>
      </c>
      <c r="F46" s="28">
        <f t="shared" si="0"/>
        <v>178000</v>
      </c>
      <c r="G46" s="33">
        <v>86572.7</v>
      </c>
      <c r="H46" s="33">
        <v>91427.3</v>
      </c>
      <c r="I46" s="33"/>
      <c r="J46" s="28">
        <f t="shared" si="48"/>
        <v>178000</v>
      </c>
      <c r="K46" s="33">
        <f>48636.3+24318.2+13618.2</f>
        <v>86572.7</v>
      </c>
      <c r="L46" s="33">
        <f>77045.5+14381.8</f>
        <v>91427.3</v>
      </c>
      <c r="M46" s="33"/>
      <c r="N46" s="27">
        <f t="shared" si="49"/>
        <v>198000</v>
      </c>
      <c r="O46" s="33">
        <v>97934.8</v>
      </c>
      <c r="P46" s="33">
        <v>100065.2</v>
      </c>
      <c r="Q46" s="33"/>
      <c r="R46" s="27">
        <f t="shared" si="50"/>
        <v>198000</v>
      </c>
      <c r="S46" s="33">
        <v>110662.3</v>
      </c>
      <c r="T46" s="33">
        <v>87337.7</v>
      </c>
      <c r="U46" s="33"/>
      <c r="V46" s="34">
        <f t="shared" si="4"/>
        <v>1</v>
      </c>
    </row>
    <row r="47" spans="1:22" ht="80.25" customHeight="1">
      <c r="A47" s="41"/>
      <c r="B47" s="53" t="s">
        <v>148</v>
      </c>
      <c r="C47" s="36">
        <v>811</v>
      </c>
      <c r="D47" s="37" t="s">
        <v>17</v>
      </c>
      <c r="E47" s="36" t="s">
        <v>149</v>
      </c>
      <c r="F47" s="28">
        <f t="shared" ref="F47:F96" si="51">G47+H47+I47</f>
        <v>72319.199999999997</v>
      </c>
      <c r="G47" s="33"/>
      <c r="H47" s="33">
        <v>72319.199999999997</v>
      </c>
      <c r="I47" s="33"/>
      <c r="J47" s="28">
        <f t="shared" si="48"/>
        <v>71696.7</v>
      </c>
      <c r="K47" s="33"/>
      <c r="L47" s="33">
        <f>6700+30730+34266.7</f>
        <v>71696.7</v>
      </c>
      <c r="M47" s="33"/>
      <c r="N47" s="27">
        <f t="shared" si="49"/>
        <v>0</v>
      </c>
      <c r="O47" s="33"/>
      <c r="P47" s="33"/>
      <c r="Q47" s="33"/>
      <c r="R47" s="27">
        <f t="shared" si="50"/>
        <v>0</v>
      </c>
      <c r="S47" s="33"/>
      <c r="T47" s="33"/>
      <c r="U47" s="33"/>
      <c r="V47" s="34">
        <f t="shared" ref="V47:V95" si="52">J47/F47</f>
        <v>0.99099999999999999</v>
      </c>
    </row>
    <row r="48" spans="1:22" ht="33">
      <c r="A48" s="24" t="s">
        <v>38</v>
      </c>
      <c r="B48" s="54" t="s">
        <v>39</v>
      </c>
      <c r="C48" s="26" t="s">
        <v>12</v>
      </c>
      <c r="D48" s="26" t="s">
        <v>12</v>
      </c>
      <c r="E48" s="26" t="s">
        <v>12</v>
      </c>
      <c r="F48" s="28">
        <f t="shared" si="51"/>
        <v>120753.5</v>
      </c>
      <c r="G48" s="28">
        <f>SUM(G50:G51)</f>
        <v>1418.7</v>
      </c>
      <c r="H48" s="28">
        <f>SUM(H50:H51)</f>
        <v>119334.8</v>
      </c>
      <c r="I48" s="28">
        <f>SUM(I50:I51)</f>
        <v>0</v>
      </c>
      <c r="J48" s="28">
        <f t="shared" si="48"/>
        <v>119766.5</v>
      </c>
      <c r="K48" s="28">
        <f>SUM(K50:K51)</f>
        <v>1396.8</v>
      </c>
      <c r="L48" s="28">
        <f>SUM(L50:L51)</f>
        <v>118369.7</v>
      </c>
      <c r="M48" s="28">
        <f>SUM(M50:M51)</f>
        <v>0</v>
      </c>
      <c r="N48" s="27">
        <f t="shared" si="49"/>
        <v>165592.4</v>
      </c>
      <c r="O48" s="28">
        <f>SUM(O50:O51)</f>
        <v>1418.7</v>
      </c>
      <c r="P48" s="28">
        <f>SUM(P50:P51)</f>
        <v>164173.70000000001</v>
      </c>
      <c r="Q48" s="28">
        <f>SUM(Q50:Q51)</f>
        <v>0</v>
      </c>
      <c r="R48" s="27">
        <f t="shared" si="50"/>
        <v>111539.7</v>
      </c>
      <c r="S48" s="28">
        <f>SUM(S50:S51)</f>
        <v>1418.7</v>
      </c>
      <c r="T48" s="28">
        <f>SUM(T50:T51)</f>
        <v>110121</v>
      </c>
      <c r="U48" s="28">
        <f>SUM(U50:U51)</f>
        <v>0</v>
      </c>
      <c r="V48" s="29">
        <f t="shared" si="52"/>
        <v>0.99199999999999999</v>
      </c>
    </row>
    <row r="49" spans="1:101" ht="18.75">
      <c r="A49" s="41"/>
      <c r="B49" s="42" t="s">
        <v>15</v>
      </c>
      <c r="C49" s="32"/>
      <c r="D49" s="32"/>
      <c r="E49" s="32"/>
      <c r="F49" s="28"/>
      <c r="G49" s="28"/>
      <c r="H49" s="28"/>
      <c r="I49" s="28"/>
      <c r="J49" s="28"/>
      <c r="K49" s="28"/>
      <c r="L49" s="28"/>
      <c r="M49" s="28"/>
      <c r="N49" s="27"/>
      <c r="O49" s="28"/>
      <c r="P49" s="28"/>
      <c r="Q49" s="28"/>
      <c r="R49" s="27"/>
      <c r="S49" s="28"/>
      <c r="T49" s="28"/>
      <c r="U49" s="28"/>
      <c r="V49" s="29"/>
    </row>
    <row r="50" spans="1:101" s="61" customFormat="1" ht="51" customHeight="1">
      <c r="A50" s="55"/>
      <c r="B50" s="56" t="s">
        <v>40</v>
      </c>
      <c r="C50" s="57">
        <v>811</v>
      </c>
      <c r="D50" s="58" t="s">
        <v>17</v>
      </c>
      <c r="E50" s="57" t="s">
        <v>151</v>
      </c>
      <c r="F50" s="80">
        <f t="shared" si="51"/>
        <v>73465.899999999994</v>
      </c>
      <c r="G50" s="59"/>
      <c r="H50" s="59">
        <v>73465.899999999994</v>
      </c>
      <c r="I50" s="59"/>
      <c r="J50" s="80">
        <f t="shared" ref="J50:J51" si="53">K50+L50+M50</f>
        <v>73208.5</v>
      </c>
      <c r="K50" s="59"/>
      <c r="L50" s="59">
        <f>385.3+5000+778+14682.9+5000+117+47245.3</f>
        <v>73208.5</v>
      </c>
      <c r="M50" s="59"/>
      <c r="N50" s="27">
        <f t="shared" ref="N50:N51" si="54">O50+P50+Q50</f>
        <v>118304.8</v>
      </c>
      <c r="O50" s="59"/>
      <c r="P50" s="59">
        <v>118304.8</v>
      </c>
      <c r="Q50" s="59"/>
      <c r="R50" s="27">
        <f t="shared" ref="R50:R51" si="55">S50+T50+U50</f>
        <v>64252.1</v>
      </c>
      <c r="S50" s="59"/>
      <c r="T50" s="59">
        <v>64252.1</v>
      </c>
      <c r="U50" s="59"/>
      <c r="V50" s="60">
        <f t="shared" si="52"/>
        <v>0.996</v>
      </c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  <c r="BZ50" s="3"/>
      <c r="CA50" s="3"/>
      <c r="CB50" s="3"/>
      <c r="CC50" s="3"/>
      <c r="CD50" s="3"/>
      <c r="CE50" s="3"/>
      <c r="CF50" s="3"/>
      <c r="CG50" s="3"/>
      <c r="CH50" s="3"/>
      <c r="CI50" s="3"/>
      <c r="CJ50" s="3"/>
      <c r="CK50" s="3"/>
      <c r="CL50" s="3"/>
      <c r="CM50" s="3"/>
      <c r="CN50" s="3"/>
      <c r="CO50" s="3"/>
      <c r="CP50" s="3"/>
      <c r="CQ50" s="3"/>
      <c r="CR50" s="3"/>
      <c r="CS50" s="3"/>
      <c r="CT50" s="3"/>
      <c r="CU50" s="3"/>
      <c r="CV50" s="3"/>
      <c r="CW50" s="3"/>
    </row>
    <row r="51" spans="1:101" s="61" customFormat="1" ht="75.75" customHeight="1">
      <c r="A51" s="55"/>
      <c r="B51" s="56" t="s">
        <v>153</v>
      </c>
      <c r="C51" s="57">
        <v>811</v>
      </c>
      <c r="D51" s="58" t="s">
        <v>17</v>
      </c>
      <c r="E51" s="57" t="s">
        <v>152</v>
      </c>
      <c r="F51" s="80">
        <f t="shared" si="51"/>
        <v>47287.6</v>
      </c>
      <c r="G51" s="59">
        <v>1418.7</v>
      </c>
      <c r="H51" s="59">
        <v>45868.9</v>
      </c>
      <c r="I51" s="59"/>
      <c r="J51" s="80">
        <f t="shared" si="53"/>
        <v>46558</v>
      </c>
      <c r="K51" s="59">
        <f>2.1+137.5+4.9+187.3+96.5+143+825.5</f>
        <v>1396.8</v>
      </c>
      <c r="L51" s="59">
        <f>69.1+4446.9+155+6056.6+3119.4+4622.3+26691.9</f>
        <v>45161.2</v>
      </c>
      <c r="M51" s="59"/>
      <c r="N51" s="27">
        <f t="shared" si="54"/>
        <v>47287.6</v>
      </c>
      <c r="O51" s="59">
        <v>1418.7</v>
      </c>
      <c r="P51" s="59">
        <v>45868.9</v>
      </c>
      <c r="Q51" s="59"/>
      <c r="R51" s="27">
        <f t="shared" si="55"/>
        <v>47287.6</v>
      </c>
      <c r="S51" s="59">
        <v>1418.7</v>
      </c>
      <c r="T51" s="59">
        <v>45868.9</v>
      </c>
      <c r="U51" s="59"/>
      <c r="V51" s="60">
        <f t="shared" si="52"/>
        <v>0.98499999999999999</v>
      </c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  <c r="BZ51" s="3"/>
      <c r="CA51" s="3"/>
      <c r="CB51" s="3"/>
      <c r="CC51" s="3"/>
      <c r="CD51" s="3"/>
      <c r="CE51" s="3"/>
      <c r="CF51" s="3"/>
      <c r="CG51" s="3"/>
      <c r="CH51" s="3"/>
      <c r="CI51" s="3"/>
      <c r="CJ51" s="3"/>
      <c r="CK51" s="3"/>
      <c r="CL51" s="3"/>
      <c r="CM51" s="3"/>
      <c r="CN51" s="3"/>
      <c r="CO51" s="3"/>
      <c r="CP51" s="3"/>
      <c r="CQ51" s="3"/>
      <c r="CR51" s="3"/>
      <c r="CS51" s="3"/>
      <c r="CT51" s="3"/>
      <c r="CU51" s="3"/>
      <c r="CV51" s="3"/>
      <c r="CW51" s="3"/>
    </row>
    <row r="52" spans="1:101" s="8" customFormat="1" ht="68.25" customHeight="1">
      <c r="A52" s="24" t="s">
        <v>41</v>
      </c>
      <c r="B52" s="52" t="s">
        <v>43</v>
      </c>
      <c r="C52" s="26" t="s">
        <v>12</v>
      </c>
      <c r="D52" s="26" t="s">
        <v>12</v>
      </c>
      <c r="E52" s="26" t="s">
        <v>12</v>
      </c>
      <c r="F52" s="28">
        <f t="shared" si="51"/>
        <v>198424.6</v>
      </c>
      <c r="G52" s="28">
        <f>SUM(G54:G54)</f>
        <v>21619.1</v>
      </c>
      <c r="H52" s="28">
        <f>SUM(H54:H54)</f>
        <v>176805.5</v>
      </c>
      <c r="I52" s="28">
        <f>SUM(I54:I54)</f>
        <v>0</v>
      </c>
      <c r="J52" s="28">
        <f t="shared" ref="J52" si="56">K52+L52+M52</f>
        <v>193512.2</v>
      </c>
      <c r="K52" s="28">
        <f>SUM(K54:K54)</f>
        <v>21083.9</v>
      </c>
      <c r="L52" s="28">
        <f>SUM(L54:L54)</f>
        <v>172428.3</v>
      </c>
      <c r="M52" s="28">
        <f>SUM(M54:M54)</f>
        <v>0</v>
      </c>
      <c r="N52" s="27">
        <f t="shared" ref="N52" si="57">O52+P52+Q52</f>
        <v>29782.5</v>
      </c>
      <c r="O52" s="28">
        <f>SUM(O54:O54)</f>
        <v>17790</v>
      </c>
      <c r="P52" s="28">
        <f>SUM(P54:P54)</f>
        <v>11992.5</v>
      </c>
      <c r="Q52" s="28">
        <f>SUM(Q54:Q54)</f>
        <v>0</v>
      </c>
      <c r="R52" s="27">
        <f t="shared" ref="R52" si="58">S52+T52+U52</f>
        <v>26148.3</v>
      </c>
      <c r="S52" s="28">
        <f>SUM(S54:S54)</f>
        <v>17790</v>
      </c>
      <c r="T52" s="28">
        <f>SUM(T54:T54)</f>
        <v>8358.2999999999993</v>
      </c>
      <c r="U52" s="28">
        <f>SUM(U54:U54)</f>
        <v>0</v>
      </c>
      <c r="V52" s="29">
        <f t="shared" si="52"/>
        <v>0.97499999999999998</v>
      </c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BZ52" s="3"/>
      <c r="CA52" s="3"/>
      <c r="CB52" s="3"/>
      <c r="CC52" s="3"/>
      <c r="CD52" s="3"/>
      <c r="CE52" s="3"/>
      <c r="CF52" s="3"/>
      <c r="CG52" s="3"/>
      <c r="CH52" s="3"/>
      <c r="CI52" s="3"/>
      <c r="CJ52" s="3"/>
      <c r="CK52" s="3"/>
      <c r="CL52" s="3"/>
      <c r="CM52" s="3"/>
      <c r="CN52" s="3"/>
      <c r="CO52" s="3"/>
      <c r="CP52" s="3"/>
      <c r="CQ52" s="3"/>
      <c r="CR52" s="3"/>
      <c r="CS52" s="3"/>
      <c r="CT52" s="3"/>
      <c r="CU52" s="3"/>
      <c r="CV52" s="3"/>
      <c r="CW52" s="3"/>
    </row>
    <row r="53" spans="1:101" ht="18.75">
      <c r="A53" s="41"/>
      <c r="B53" s="42" t="s">
        <v>15</v>
      </c>
      <c r="C53" s="32"/>
      <c r="D53" s="32"/>
      <c r="E53" s="32"/>
      <c r="F53" s="28"/>
      <c r="G53" s="28"/>
      <c r="H53" s="28"/>
      <c r="I53" s="28"/>
      <c r="J53" s="28"/>
      <c r="K53" s="28"/>
      <c r="L53" s="28"/>
      <c r="M53" s="28"/>
      <c r="N53" s="27"/>
      <c r="O53" s="28"/>
      <c r="P53" s="28"/>
      <c r="Q53" s="28"/>
      <c r="R53" s="27"/>
      <c r="S53" s="28"/>
      <c r="T53" s="28"/>
      <c r="U53" s="28"/>
      <c r="V53" s="29"/>
    </row>
    <row r="54" spans="1:101" ht="73.5" customHeight="1">
      <c r="A54" s="41"/>
      <c r="B54" s="43" t="s">
        <v>44</v>
      </c>
      <c r="C54" s="36">
        <v>811</v>
      </c>
      <c r="D54" s="37" t="s">
        <v>17</v>
      </c>
      <c r="E54" s="36" t="s">
        <v>157</v>
      </c>
      <c r="F54" s="28">
        <f t="shared" si="51"/>
        <v>198424.6</v>
      </c>
      <c r="G54" s="33">
        <f>17790+3829.1</f>
        <v>21619.1</v>
      </c>
      <c r="H54" s="33">
        <f>95494.6+81310.9</f>
        <v>176805.5</v>
      </c>
      <c r="I54" s="33"/>
      <c r="J54" s="28">
        <f t="shared" ref="J54:J55" si="59">K54+L54+M54</f>
        <v>193512.2</v>
      </c>
      <c r="K54" s="33">
        <f>10288.1+21.6+10774.2</f>
        <v>21083.9</v>
      </c>
      <c r="L54" s="33">
        <f>84138.5+176.4+88113.4</f>
        <v>172428.3</v>
      </c>
      <c r="M54" s="33"/>
      <c r="N54" s="27">
        <f t="shared" ref="N54:N55" si="60">O54+P54+Q54</f>
        <v>29782.5</v>
      </c>
      <c r="O54" s="33">
        <v>17790</v>
      </c>
      <c r="P54" s="33">
        <v>11992.5</v>
      </c>
      <c r="Q54" s="33"/>
      <c r="R54" s="27">
        <f t="shared" ref="R54:R55" si="61">S54+T54+U54</f>
        <v>26148.3</v>
      </c>
      <c r="S54" s="33">
        <v>17790</v>
      </c>
      <c r="T54" s="33">
        <v>8358.2999999999993</v>
      </c>
      <c r="U54" s="33"/>
      <c r="V54" s="34">
        <f t="shared" si="52"/>
        <v>0.97499999999999998</v>
      </c>
    </row>
    <row r="55" spans="1:101" s="8" customFormat="1" ht="38.25" customHeight="1">
      <c r="A55" s="62" t="s">
        <v>42</v>
      </c>
      <c r="B55" s="54" t="s">
        <v>45</v>
      </c>
      <c r="C55" s="26" t="s">
        <v>12</v>
      </c>
      <c r="D55" s="26" t="s">
        <v>12</v>
      </c>
      <c r="E55" s="26" t="s">
        <v>12</v>
      </c>
      <c r="F55" s="28">
        <f t="shared" si="51"/>
        <v>3294118.7</v>
      </c>
      <c r="G55" s="28">
        <f t="shared" ref="G55:H55" si="62">SUM(G57:G59)</f>
        <v>621976.19999999995</v>
      </c>
      <c r="H55" s="28">
        <f t="shared" si="62"/>
        <v>2672142.5</v>
      </c>
      <c r="I55" s="28">
        <f t="shared" ref="I55" si="63">SUM(I57:I59)</f>
        <v>0</v>
      </c>
      <c r="J55" s="28">
        <f t="shared" si="59"/>
        <v>1040286.3</v>
      </c>
      <c r="K55" s="28">
        <f t="shared" ref="K55:M55" si="64">SUM(K57:K59)</f>
        <v>172034.3</v>
      </c>
      <c r="L55" s="28">
        <f t="shared" si="64"/>
        <v>868252</v>
      </c>
      <c r="M55" s="28">
        <f t="shared" si="64"/>
        <v>0</v>
      </c>
      <c r="N55" s="27">
        <f t="shared" si="60"/>
        <v>202861.2</v>
      </c>
      <c r="O55" s="28">
        <f t="shared" ref="O55:T55" si="65">SUM(O57:O59)</f>
        <v>0</v>
      </c>
      <c r="P55" s="28">
        <f t="shared" si="65"/>
        <v>202861.2</v>
      </c>
      <c r="Q55" s="28">
        <f t="shared" si="65"/>
        <v>0</v>
      </c>
      <c r="R55" s="27">
        <f t="shared" si="61"/>
        <v>52748.7</v>
      </c>
      <c r="S55" s="28">
        <f t="shared" si="65"/>
        <v>0</v>
      </c>
      <c r="T55" s="28">
        <f t="shared" si="65"/>
        <v>52748.7</v>
      </c>
      <c r="U55" s="28">
        <f t="shared" ref="U55" si="66">SUM(U57:U59)</f>
        <v>0</v>
      </c>
      <c r="V55" s="29">
        <f t="shared" si="52"/>
        <v>0.316</v>
      </c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  <c r="BZ55" s="3"/>
      <c r="CA55" s="3"/>
      <c r="CB55" s="3"/>
      <c r="CC55" s="3"/>
      <c r="CD55" s="3"/>
      <c r="CE55" s="3"/>
      <c r="CF55" s="3"/>
      <c r="CG55" s="3"/>
      <c r="CH55" s="3"/>
      <c r="CI55" s="3"/>
      <c r="CJ55" s="3"/>
      <c r="CK55" s="3"/>
      <c r="CL55" s="3"/>
      <c r="CM55" s="3"/>
      <c r="CN55" s="3"/>
      <c r="CO55" s="3"/>
      <c r="CP55" s="3"/>
      <c r="CQ55" s="3"/>
      <c r="CR55" s="3"/>
      <c r="CS55" s="3"/>
      <c r="CT55" s="3"/>
      <c r="CU55" s="3"/>
      <c r="CV55" s="3"/>
      <c r="CW55" s="3"/>
    </row>
    <row r="56" spans="1:101" ht="22.5" customHeight="1">
      <c r="A56" s="14"/>
      <c r="B56" s="31" t="s">
        <v>15</v>
      </c>
      <c r="C56" s="63"/>
      <c r="D56" s="63"/>
      <c r="E56" s="63"/>
      <c r="F56" s="28"/>
      <c r="G56" s="28"/>
      <c r="H56" s="28"/>
      <c r="I56" s="28"/>
      <c r="J56" s="28"/>
      <c r="K56" s="28"/>
      <c r="L56" s="28"/>
      <c r="M56" s="28"/>
      <c r="N56" s="27"/>
      <c r="O56" s="28"/>
      <c r="P56" s="28"/>
      <c r="Q56" s="28"/>
      <c r="R56" s="27"/>
      <c r="S56" s="28"/>
      <c r="T56" s="28"/>
      <c r="U56" s="28"/>
      <c r="V56" s="29"/>
    </row>
    <row r="57" spans="1:101" ht="60" customHeight="1">
      <c r="A57" s="11"/>
      <c r="B57" s="35" t="s">
        <v>154</v>
      </c>
      <c r="C57" s="64">
        <v>811</v>
      </c>
      <c r="D57" s="65" t="s">
        <v>17</v>
      </c>
      <c r="E57" s="64" t="s">
        <v>155</v>
      </c>
      <c r="F57" s="27">
        <f t="shared" si="51"/>
        <v>169555.6</v>
      </c>
      <c r="G57" s="33"/>
      <c r="H57" s="33">
        <v>169555.6</v>
      </c>
      <c r="I57" s="33"/>
      <c r="J57" s="27">
        <f t="shared" ref="J57:J61" si="67">K57+L57+M57</f>
        <v>169555.6</v>
      </c>
      <c r="K57" s="33"/>
      <c r="L57" s="33">
        <f>76725.6+92830</f>
        <v>169555.6</v>
      </c>
      <c r="M57" s="33"/>
      <c r="N57" s="27">
        <f t="shared" ref="N57:N61" si="68">O57+P57+Q57</f>
        <v>202861.2</v>
      </c>
      <c r="O57" s="33"/>
      <c r="P57" s="33">
        <v>202861.2</v>
      </c>
      <c r="Q57" s="33"/>
      <c r="R57" s="27">
        <f t="shared" ref="R57:R60" si="69">S57+T57+U57</f>
        <v>52748.7</v>
      </c>
      <c r="S57" s="33"/>
      <c r="T57" s="33">
        <v>52748.7</v>
      </c>
      <c r="U57" s="33"/>
      <c r="V57" s="34">
        <f t="shared" si="52"/>
        <v>1</v>
      </c>
    </row>
    <row r="58" spans="1:101" ht="69" customHeight="1">
      <c r="A58" s="11"/>
      <c r="B58" s="35" t="s">
        <v>324</v>
      </c>
      <c r="C58" s="64">
        <v>821</v>
      </c>
      <c r="D58" s="65" t="s">
        <v>19</v>
      </c>
      <c r="E58" s="64" t="s">
        <v>156</v>
      </c>
      <c r="F58" s="27">
        <f t="shared" si="51"/>
        <v>3124455.9</v>
      </c>
      <c r="G58" s="33">
        <f>498971.2+122897.77</f>
        <v>621869</v>
      </c>
      <c r="H58" s="33">
        <f>1914972+587614.9</f>
        <v>2502586.9</v>
      </c>
      <c r="I58" s="33"/>
      <c r="J58" s="27">
        <f t="shared" si="67"/>
        <v>870623.6</v>
      </c>
      <c r="K58" s="33">
        <f>15655.6+1329.5+6441.8+3165.9+5525+19702.5+120106.9</f>
        <v>171927.2</v>
      </c>
      <c r="L58" s="33">
        <f>60083.6+5102.4+25713.9+15122.3+24543.3+81407.8+486723.1</f>
        <v>698696.4</v>
      </c>
      <c r="M58" s="33"/>
      <c r="N58" s="27">
        <f t="shared" si="68"/>
        <v>0</v>
      </c>
      <c r="O58" s="33"/>
      <c r="P58" s="33"/>
      <c r="Q58" s="33"/>
      <c r="R58" s="27">
        <f t="shared" si="69"/>
        <v>0</v>
      </c>
      <c r="S58" s="33"/>
      <c r="T58" s="33"/>
      <c r="U58" s="33"/>
      <c r="V58" s="34">
        <f t="shared" si="52"/>
        <v>0.27900000000000003</v>
      </c>
    </row>
    <row r="59" spans="1:101" ht="39" customHeight="1">
      <c r="A59" s="11"/>
      <c r="B59" s="35" t="s">
        <v>293</v>
      </c>
      <c r="C59" s="64">
        <v>821</v>
      </c>
      <c r="D59" s="65" t="s">
        <v>19</v>
      </c>
      <c r="E59" s="64" t="s">
        <v>253</v>
      </c>
      <c r="F59" s="27">
        <f t="shared" si="51"/>
        <v>107.2</v>
      </c>
      <c r="G59" s="33">
        <v>107.2</v>
      </c>
      <c r="H59" s="33"/>
      <c r="I59" s="33"/>
      <c r="J59" s="27">
        <f t="shared" si="67"/>
        <v>107.1</v>
      </c>
      <c r="K59" s="33">
        <f>51.8+55.3</f>
        <v>107.1</v>
      </c>
      <c r="L59" s="33"/>
      <c r="M59" s="33"/>
      <c r="N59" s="27">
        <f t="shared" si="68"/>
        <v>0</v>
      </c>
      <c r="O59" s="33"/>
      <c r="P59" s="33"/>
      <c r="Q59" s="33"/>
      <c r="R59" s="27">
        <f t="shared" si="69"/>
        <v>0</v>
      </c>
      <c r="S59" s="33"/>
      <c r="T59" s="33"/>
      <c r="U59" s="33"/>
      <c r="V59" s="34">
        <f t="shared" si="52"/>
        <v>0.999</v>
      </c>
    </row>
    <row r="60" spans="1:101" ht="24" customHeight="1">
      <c r="A60" s="19" t="s">
        <v>46</v>
      </c>
      <c r="B60" s="20" t="s">
        <v>47</v>
      </c>
      <c r="C60" s="49" t="s">
        <v>12</v>
      </c>
      <c r="D60" s="49" t="s">
        <v>12</v>
      </c>
      <c r="E60" s="49" t="s">
        <v>12</v>
      </c>
      <c r="F60" s="50">
        <f t="shared" si="51"/>
        <v>2500859.2000000002</v>
      </c>
      <c r="G60" s="50">
        <f>G61+G74+G82+G90</f>
        <v>1141203</v>
      </c>
      <c r="H60" s="50">
        <f>H61+H74+H82+H90</f>
        <v>1105864.7</v>
      </c>
      <c r="I60" s="50">
        <f>I61+I74+I82+I90</f>
        <v>253791.5</v>
      </c>
      <c r="J60" s="50">
        <f t="shared" si="67"/>
        <v>2287152.7000000002</v>
      </c>
      <c r="K60" s="50">
        <f>K61+K74+K82+K90</f>
        <v>1135882</v>
      </c>
      <c r="L60" s="50">
        <f>L61+L74+L82+L90</f>
        <v>1104817.8</v>
      </c>
      <c r="M60" s="50">
        <f>M61+M74+M82+M90</f>
        <v>46452.9</v>
      </c>
      <c r="N60" s="50">
        <f t="shared" si="68"/>
        <v>1782452.1</v>
      </c>
      <c r="O60" s="50">
        <f>O61+O74+O82+O90</f>
        <v>830892.5</v>
      </c>
      <c r="P60" s="50">
        <f>P61+P74+P82+P90</f>
        <v>950753.1</v>
      </c>
      <c r="Q60" s="50">
        <f>Q61+Q74+Q82+Q90</f>
        <v>806.5</v>
      </c>
      <c r="R60" s="50">
        <f t="shared" si="69"/>
        <v>670852.4</v>
      </c>
      <c r="S60" s="50">
        <f>S61+S74+S82+S90</f>
        <v>307419.40000000002</v>
      </c>
      <c r="T60" s="50">
        <f>T61+T74+T82+T90</f>
        <v>363433</v>
      </c>
      <c r="U60" s="50">
        <f>U61+U74+U82+U90</f>
        <v>0</v>
      </c>
      <c r="V60" s="51">
        <f t="shared" si="52"/>
        <v>0.91500000000000004</v>
      </c>
    </row>
    <row r="61" spans="1:101" ht="52.5" customHeight="1">
      <c r="A61" s="11" t="s">
        <v>48</v>
      </c>
      <c r="B61" s="54" t="s">
        <v>49</v>
      </c>
      <c r="C61" s="66" t="s">
        <v>12</v>
      </c>
      <c r="D61" s="66" t="s">
        <v>12</v>
      </c>
      <c r="E61" s="70" t="s">
        <v>12</v>
      </c>
      <c r="F61" s="28">
        <f t="shared" si="51"/>
        <v>2144092.9</v>
      </c>
      <c r="G61" s="28">
        <f>SUM(G63:G73)</f>
        <v>1007012.8</v>
      </c>
      <c r="H61" s="28">
        <f>SUM(H63:H73)</f>
        <v>885491.7</v>
      </c>
      <c r="I61" s="28">
        <f>SUM(I63:I73)</f>
        <v>251588.4</v>
      </c>
      <c r="J61" s="28">
        <f t="shared" si="67"/>
        <v>1930939.4</v>
      </c>
      <c r="K61" s="28">
        <f>SUM(K63:K73)</f>
        <v>1001765.7</v>
      </c>
      <c r="L61" s="28">
        <f t="shared" ref="L61:M61" si="70">SUM(L63:L73)</f>
        <v>884829.3</v>
      </c>
      <c r="M61" s="28">
        <f t="shared" si="70"/>
        <v>44344.4</v>
      </c>
      <c r="N61" s="27">
        <f t="shared" si="68"/>
        <v>1551098.6</v>
      </c>
      <c r="O61" s="28">
        <f>SUM(O63:O70)</f>
        <v>716668.4</v>
      </c>
      <c r="P61" s="28">
        <f>SUM(P63:P73)</f>
        <v>833623.7</v>
      </c>
      <c r="Q61" s="28">
        <f t="shared" ref="Q61:R61" si="71">SUM(Q63:Q73)</f>
        <v>806.5</v>
      </c>
      <c r="R61" s="28">
        <f t="shared" si="71"/>
        <v>98222.399999999994</v>
      </c>
      <c r="S61" s="28">
        <f>SUM(S63:S70)</f>
        <v>40038.800000000003</v>
      </c>
      <c r="T61" s="28">
        <f>SUM(T63:T73)</f>
        <v>58183.6</v>
      </c>
      <c r="U61" s="28">
        <f>SUM(U63:U73)</f>
        <v>0</v>
      </c>
      <c r="V61" s="40">
        <f t="shared" si="52"/>
        <v>0.90100000000000002</v>
      </c>
    </row>
    <row r="62" spans="1:101" ht="18.75">
      <c r="A62" s="41"/>
      <c r="B62" s="42" t="s">
        <v>15</v>
      </c>
      <c r="C62" s="32"/>
      <c r="D62" s="32"/>
      <c r="E62" s="32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40"/>
    </row>
    <row r="63" spans="1:101" ht="82.5" customHeight="1">
      <c r="A63" s="41"/>
      <c r="B63" s="43" t="s">
        <v>309</v>
      </c>
      <c r="C63" s="36">
        <v>815</v>
      </c>
      <c r="D63" s="37" t="s">
        <v>50</v>
      </c>
      <c r="E63" s="67" t="s">
        <v>165</v>
      </c>
      <c r="F63" s="28">
        <f t="shared" si="51"/>
        <v>35921.300000000003</v>
      </c>
      <c r="G63" s="33">
        <f>1129.5-51.8</f>
        <v>1077.7</v>
      </c>
      <c r="H63" s="33">
        <f>36520.2-1676.6</f>
        <v>34843.599999999999</v>
      </c>
      <c r="I63" s="33"/>
      <c r="J63" s="28">
        <f t="shared" ref="J63:J74" si="72">K63+L63+M63</f>
        <v>35921.300000000003</v>
      </c>
      <c r="K63" s="33">
        <f>0.7+30.9+8.2+54.3+339.6+87.1+556.9</f>
        <v>1077.7</v>
      </c>
      <c r="L63" s="33">
        <f>23.8+997.9+265.3+1757+10980.7+2813.7+18005.2</f>
        <v>34843.599999999999</v>
      </c>
      <c r="M63" s="33"/>
      <c r="N63" s="27">
        <f t="shared" ref="N63:N74" si="73">O63+P63+Q63</f>
        <v>43468.800000000003</v>
      </c>
      <c r="O63" s="33">
        <v>5426.7</v>
      </c>
      <c r="P63" s="33">
        <v>38042.1</v>
      </c>
      <c r="Q63" s="33"/>
      <c r="R63" s="27">
        <f t="shared" ref="R63:R74" si="74">S63+T63+U63</f>
        <v>41948.7</v>
      </c>
      <c r="S63" s="33">
        <v>5433.9</v>
      </c>
      <c r="T63" s="33">
        <v>36514.800000000003</v>
      </c>
      <c r="U63" s="33"/>
      <c r="V63" s="34">
        <f t="shared" si="52"/>
        <v>1</v>
      </c>
    </row>
    <row r="64" spans="1:101" ht="83.25" customHeight="1">
      <c r="A64" s="41"/>
      <c r="B64" s="43" t="s">
        <v>282</v>
      </c>
      <c r="C64" s="36">
        <v>815</v>
      </c>
      <c r="D64" s="37" t="s">
        <v>50</v>
      </c>
      <c r="E64" s="67" t="s">
        <v>283</v>
      </c>
      <c r="F64" s="27">
        <f t="shared" si="51"/>
        <v>30655.4</v>
      </c>
      <c r="G64" s="33">
        <f>20011.6-1.6</f>
        <v>20010</v>
      </c>
      <c r="H64" s="33">
        <f>10694.2-48.8</f>
        <v>10645.4</v>
      </c>
      <c r="I64" s="33"/>
      <c r="J64" s="27">
        <f t="shared" si="72"/>
        <v>30655.4</v>
      </c>
      <c r="K64" s="33">
        <f>3468+1775.4+2139.2+1100+1989+2446.9+3187+3904.5</f>
        <v>20010</v>
      </c>
      <c r="L64" s="33">
        <f>444.5+4924.2+4337.6+311.7+627.4</f>
        <v>10645.4</v>
      </c>
      <c r="M64" s="33"/>
      <c r="N64" s="27">
        <f t="shared" si="73"/>
        <v>22920.5</v>
      </c>
      <c r="O64" s="33">
        <v>22920.5</v>
      </c>
      <c r="P64" s="33"/>
      <c r="Q64" s="33"/>
      <c r="R64" s="27">
        <f t="shared" si="74"/>
        <v>24056.9</v>
      </c>
      <c r="S64" s="33">
        <v>24056.9</v>
      </c>
      <c r="T64" s="33"/>
      <c r="U64" s="33"/>
      <c r="V64" s="34">
        <f t="shared" si="52"/>
        <v>1</v>
      </c>
    </row>
    <row r="65" spans="1:22" ht="70.5" customHeight="1">
      <c r="A65" s="41"/>
      <c r="B65" s="43" t="s">
        <v>280</v>
      </c>
      <c r="C65" s="36">
        <v>821</v>
      </c>
      <c r="D65" s="37" t="s">
        <v>19</v>
      </c>
      <c r="E65" s="67" t="s">
        <v>281</v>
      </c>
      <c r="F65" s="27">
        <f t="shared" si="51"/>
        <v>18000</v>
      </c>
      <c r="G65" s="33">
        <f>15900-2400</f>
        <v>13500</v>
      </c>
      <c r="H65" s="33"/>
      <c r="I65" s="33">
        <v>4500</v>
      </c>
      <c r="J65" s="27">
        <f t="shared" si="72"/>
        <v>18000</v>
      </c>
      <c r="K65" s="33">
        <v>13500</v>
      </c>
      <c r="L65" s="33"/>
      <c r="M65" s="33">
        <v>4500</v>
      </c>
      <c r="N65" s="27">
        <f t="shared" si="73"/>
        <v>0</v>
      </c>
      <c r="O65" s="33"/>
      <c r="P65" s="33"/>
      <c r="Q65" s="33"/>
      <c r="R65" s="27">
        <f t="shared" si="74"/>
        <v>0</v>
      </c>
      <c r="S65" s="33"/>
      <c r="T65" s="33"/>
      <c r="U65" s="33"/>
      <c r="V65" s="34">
        <f t="shared" si="52"/>
        <v>1</v>
      </c>
    </row>
    <row r="66" spans="1:22" ht="65.25" customHeight="1">
      <c r="A66" s="41"/>
      <c r="B66" s="43" t="s">
        <v>357</v>
      </c>
      <c r="C66" s="36">
        <v>815</v>
      </c>
      <c r="D66" s="37" t="s">
        <v>50</v>
      </c>
      <c r="E66" s="67" t="s">
        <v>355</v>
      </c>
      <c r="F66" s="27">
        <f t="shared" ref="F66:F67" si="75">G66+H66+I66</f>
        <v>11339.2</v>
      </c>
      <c r="G66" s="33">
        <v>11327.8</v>
      </c>
      <c r="H66" s="33"/>
      <c r="I66" s="33">
        <v>11.4</v>
      </c>
      <c r="J66" s="27">
        <f t="shared" ref="J66:J67" si="76">K66+L66+M66</f>
        <v>11339.2</v>
      </c>
      <c r="K66" s="33">
        <v>11327.8</v>
      </c>
      <c r="L66" s="33"/>
      <c r="M66" s="33">
        <v>11.4</v>
      </c>
      <c r="N66" s="27">
        <f t="shared" ref="N66:N67" si="77">O66+P66+Q66</f>
        <v>0</v>
      </c>
      <c r="O66" s="33"/>
      <c r="P66" s="33"/>
      <c r="Q66" s="33"/>
      <c r="R66" s="27">
        <f t="shared" ref="R66:R67" si="78">S66+T66+U66</f>
        <v>0</v>
      </c>
      <c r="S66" s="33"/>
      <c r="T66" s="33"/>
      <c r="U66" s="33"/>
      <c r="V66" s="34">
        <f t="shared" ref="V66:V67" si="79">J66/F66</f>
        <v>1</v>
      </c>
    </row>
    <row r="67" spans="1:22" ht="60.75" customHeight="1">
      <c r="A67" s="41"/>
      <c r="B67" s="43" t="s">
        <v>358</v>
      </c>
      <c r="C67" s="36">
        <v>821</v>
      </c>
      <c r="D67" s="37" t="s">
        <v>19</v>
      </c>
      <c r="E67" s="67" t="s">
        <v>356</v>
      </c>
      <c r="F67" s="27">
        <f t="shared" si="75"/>
        <v>493148.9</v>
      </c>
      <c r="G67" s="33">
        <v>14779.7</v>
      </c>
      <c r="H67" s="33">
        <v>477876.1</v>
      </c>
      <c r="I67" s="33">
        <v>493.1</v>
      </c>
      <c r="J67" s="27">
        <f t="shared" si="76"/>
        <v>492465.3</v>
      </c>
      <c r="K67" s="33">
        <f>2501.4+12254.4+3.4</f>
        <v>14759.2</v>
      </c>
      <c r="L67" s="33">
        <f>80878.3+396223.8+111.6</f>
        <v>477213.7</v>
      </c>
      <c r="M67" s="33">
        <v>492.4</v>
      </c>
      <c r="N67" s="27">
        <f t="shared" si="77"/>
        <v>493148.9</v>
      </c>
      <c r="O67" s="33">
        <v>14779.7</v>
      </c>
      <c r="P67" s="33">
        <v>477876.1</v>
      </c>
      <c r="Q67" s="33">
        <v>493.1</v>
      </c>
      <c r="R67" s="27">
        <f t="shared" si="78"/>
        <v>0</v>
      </c>
      <c r="S67" s="33"/>
      <c r="T67" s="33"/>
      <c r="U67" s="33"/>
      <c r="V67" s="34">
        <f t="shared" si="79"/>
        <v>0.999</v>
      </c>
    </row>
    <row r="68" spans="1:22" ht="77.25" customHeight="1">
      <c r="A68" s="41"/>
      <c r="B68" s="43" t="s">
        <v>166</v>
      </c>
      <c r="C68" s="36">
        <v>815</v>
      </c>
      <c r="D68" s="37" t="s">
        <v>50</v>
      </c>
      <c r="E68" s="67" t="s">
        <v>167</v>
      </c>
      <c r="F68" s="27">
        <f t="shared" si="51"/>
        <v>20574.099999999999</v>
      </c>
      <c r="G68" s="33">
        <v>6303.9</v>
      </c>
      <c r="H68" s="33">
        <v>14270.2</v>
      </c>
      <c r="I68" s="33">
        <v>0</v>
      </c>
      <c r="J68" s="27">
        <f t="shared" si="72"/>
        <v>20574.099999999999</v>
      </c>
      <c r="K68" s="33">
        <f>916.5+1047.8+1400.2+894.1+694.1+620.7+730.5</f>
        <v>6303.9</v>
      </c>
      <c r="L68" s="33">
        <f>5370.3+4587.6+3603+142.1+567.2</f>
        <v>14270.2</v>
      </c>
      <c r="M68" s="33">
        <v>0</v>
      </c>
      <c r="N68" s="27">
        <f t="shared" si="73"/>
        <v>15899.6</v>
      </c>
      <c r="O68" s="33">
        <v>477</v>
      </c>
      <c r="P68" s="33">
        <v>15422.6</v>
      </c>
      <c r="Q68" s="33"/>
      <c r="R68" s="27">
        <f t="shared" si="74"/>
        <v>32216.799999999999</v>
      </c>
      <c r="S68" s="33">
        <v>10548</v>
      </c>
      <c r="T68" s="33">
        <v>21668.799999999999</v>
      </c>
      <c r="U68" s="33"/>
      <c r="V68" s="34">
        <f>J68/F68</f>
        <v>1</v>
      </c>
    </row>
    <row r="69" spans="1:22" ht="39" customHeight="1">
      <c r="A69" s="41"/>
      <c r="B69" s="43" t="s">
        <v>136</v>
      </c>
      <c r="C69" s="36">
        <v>821</v>
      </c>
      <c r="D69" s="37" t="s">
        <v>19</v>
      </c>
      <c r="E69" s="67" t="s">
        <v>168</v>
      </c>
      <c r="F69" s="27">
        <f t="shared" si="51"/>
        <v>0</v>
      </c>
      <c r="G69" s="33"/>
      <c r="H69" s="33"/>
      <c r="I69" s="33"/>
      <c r="J69" s="27">
        <f t="shared" si="72"/>
        <v>0</v>
      </c>
      <c r="K69" s="33"/>
      <c r="L69" s="33"/>
      <c r="M69" s="33"/>
      <c r="N69" s="27">
        <f t="shared" si="73"/>
        <v>975660.8</v>
      </c>
      <c r="O69" s="33">
        <f>687844.2-14779.7</f>
        <v>673064.5</v>
      </c>
      <c r="P69" s="33">
        <v>302282.90000000002</v>
      </c>
      <c r="Q69" s="33">
        <v>313.39999999999998</v>
      </c>
      <c r="R69" s="27">
        <f t="shared" si="74"/>
        <v>0</v>
      </c>
      <c r="S69" s="33"/>
      <c r="T69" s="33"/>
      <c r="U69" s="33"/>
      <c r="V69" s="34"/>
    </row>
    <row r="70" spans="1:22" ht="36" customHeight="1">
      <c r="A70" s="41"/>
      <c r="B70" s="43" t="s">
        <v>136</v>
      </c>
      <c r="C70" s="36">
        <v>815</v>
      </c>
      <c r="D70" s="37" t="s">
        <v>50</v>
      </c>
      <c r="E70" s="67" t="s">
        <v>168</v>
      </c>
      <c r="F70" s="27">
        <f t="shared" si="51"/>
        <v>1237308</v>
      </c>
      <c r="G70" s="33">
        <f>150670.7+1147189.9-11484.9-121812-231165.8</f>
        <v>933397.9</v>
      </c>
      <c r="H70" s="33">
        <v>303910.09999999998</v>
      </c>
      <c r="I70" s="33"/>
      <c r="J70" s="27">
        <f t="shared" si="72"/>
        <v>1237308</v>
      </c>
      <c r="K70" s="33">
        <f>751.7+39252.1+845271.5+29251.2+3642.5+8790.2+6438.7</f>
        <v>933397.9</v>
      </c>
      <c r="L70" s="33">
        <v>303910.09999999998</v>
      </c>
      <c r="M70" s="33"/>
      <c r="N70" s="27">
        <f t="shared" si="73"/>
        <v>0</v>
      </c>
      <c r="O70" s="33"/>
      <c r="P70" s="33"/>
      <c r="Q70" s="33"/>
      <c r="R70" s="27">
        <f t="shared" si="74"/>
        <v>0</v>
      </c>
      <c r="S70" s="33"/>
      <c r="T70" s="33"/>
      <c r="U70" s="33"/>
      <c r="V70" s="34">
        <f t="shared" si="52"/>
        <v>1</v>
      </c>
    </row>
    <row r="71" spans="1:22" ht="45.75" customHeight="1">
      <c r="A71" s="41"/>
      <c r="B71" s="43" t="s">
        <v>136</v>
      </c>
      <c r="C71" s="36">
        <v>815</v>
      </c>
      <c r="D71" s="37" t="s">
        <v>50</v>
      </c>
      <c r="E71" s="67" t="s">
        <v>339</v>
      </c>
      <c r="F71" s="27">
        <f t="shared" ref="F71" si="80">G71+H71+I71</f>
        <v>180</v>
      </c>
      <c r="G71" s="33">
        <v>180</v>
      </c>
      <c r="H71" s="33"/>
      <c r="I71" s="33"/>
      <c r="J71" s="27">
        <f t="shared" ref="J71" si="81">K71+L71+M71</f>
        <v>30</v>
      </c>
      <c r="K71" s="33">
        <v>30</v>
      </c>
      <c r="L71" s="33"/>
      <c r="M71" s="33"/>
      <c r="N71" s="27">
        <f t="shared" ref="N71" si="82">O71+P71+Q71</f>
        <v>0</v>
      </c>
      <c r="O71" s="33"/>
      <c r="P71" s="33"/>
      <c r="Q71" s="33"/>
      <c r="R71" s="27">
        <f t="shared" ref="R71" si="83">S71+T71+U71</f>
        <v>0</v>
      </c>
      <c r="S71" s="33"/>
      <c r="T71" s="33"/>
      <c r="U71" s="33"/>
      <c r="V71" s="34">
        <f t="shared" ref="V71" si="84">J71/F71</f>
        <v>0.16700000000000001</v>
      </c>
    </row>
    <row r="72" spans="1:22" ht="53.25" customHeight="1">
      <c r="A72" s="41"/>
      <c r="B72" s="43" t="s">
        <v>327</v>
      </c>
      <c r="C72" s="36">
        <v>821</v>
      </c>
      <c r="D72" s="37" t="s">
        <v>19</v>
      </c>
      <c r="E72" s="67" t="s">
        <v>326</v>
      </c>
      <c r="F72" s="27">
        <f t="shared" ref="F72" si="85">G72+H72+I72</f>
        <v>291884.3</v>
      </c>
      <c r="G72" s="33">
        <v>1359.2</v>
      </c>
      <c r="H72" s="33">
        <v>43946.3</v>
      </c>
      <c r="I72" s="33">
        <v>246578.8</v>
      </c>
      <c r="J72" s="27">
        <f t="shared" ref="J72" si="86">K72+L72+M72</f>
        <v>84646.1</v>
      </c>
      <c r="K72" s="33">
        <f>290.6+130.8+165+227.3+92.3+225.5+156+71.7</f>
        <v>1359.2</v>
      </c>
      <c r="L72" s="33">
        <f>9396.2+4227.8+5335.8+7348.3+2984.9+7292.9+5043.5+2316.9</f>
        <v>43946.3</v>
      </c>
      <c r="M72" s="33">
        <v>39340.6</v>
      </c>
      <c r="N72" s="27">
        <f t="shared" ref="N72" si="87">O72+P72+Q72</f>
        <v>0</v>
      </c>
      <c r="O72" s="33"/>
      <c r="P72" s="33"/>
      <c r="Q72" s="33"/>
      <c r="R72" s="27">
        <f t="shared" ref="R72" si="88">S72+T72+U72</f>
        <v>0</v>
      </c>
      <c r="S72" s="33"/>
      <c r="T72" s="33"/>
      <c r="U72" s="33"/>
      <c r="V72" s="34">
        <f t="shared" ref="V72" si="89">J72/F72</f>
        <v>0.28999999999999998</v>
      </c>
    </row>
    <row r="73" spans="1:22" ht="53.25" customHeight="1">
      <c r="A73" s="41"/>
      <c r="B73" s="43" t="s">
        <v>327</v>
      </c>
      <c r="C73" s="36">
        <v>821</v>
      </c>
      <c r="D73" s="37" t="s">
        <v>19</v>
      </c>
      <c r="E73" s="67" t="s">
        <v>328</v>
      </c>
      <c r="F73" s="28">
        <f t="shared" ref="F73" si="90">G73+H73+I73</f>
        <v>5081.7</v>
      </c>
      <c r="G73" s="33">
        <v>5076.6000000000004</v>
      </c>
      <c r="H73" s="33"/>
      <c r="I73" s="33">
        <v>5.0999999999999996</v>
      </c>
      <c r="J73" s="28">
        <f t="shared" ref="J73" si="91">K73+L73+M73</f>
        <v>0</v>
      </c>
      <c r="K73" s="33"/>
      <c r="L73" s="33"/>
      <c r="M73" s="33">
        <v>0</v>
      </c>
      <c r="N73" s="27">
        <f t="shared" ref="N73" si="92">O73+P73+Q73</f>
        <v>0</v>
      </c>
      <c r="O73" s="33"/>
      <c r="P73" s="33"/>
      <c r="Q73" s="33"/>
      <c r="R73" s="27">
        <f t="shared" ref="R73" si="93">S73+T73+U73</f>
        <v>0</v>
      </c>
      <c r="S73" s="33"/>
      <c r="T73" s="33"/>
      <c r="U73" s="33"/>
      <c r="V73" s="34">
        <f t="shared" ref="V73" si="94">J73/F73</f>
        <v>0</v>
      </c>
    </row>
    <row r="74" spans="1:22" ht="34.5" customHeight="1">
      <c r="A74" s="24" t="s">
        <v>51</v>
      </c>
      <c r="B74" s="54" t="s">
        <v>52</v>
      </c>
      <c r="C74" s="26" t="s">
        <v>12</v>
      </c>
      <c r="D74" s="26" t="s">
        <v>12</v>
      </c>
      <c r="E74" s="26" t="s">
        <v>12</v>
      </c>
      <c r="F74" s="28">
        <f t="shared" si="51"/>
        <v>169693.1</v>
      </c>
      <c r="G74" s="28">
        <f t="shared" ref="G74:H74" si="95">SUM(G76:G81)</f>
        <v>37053.300000000003</v>
      </c>
      <c r="H74" s="28">
        <f t="shared" si="95"/>
        <v>132639.79999999999</v>
      </c>
      <c r="I74" s="28">
        <f t="shared" ref="I74" si="96">SUM(I76:I81)</f>
        <v>0</v>
      </c>
      <c r="J74" s="28">
        <f t="shared" si="72"/>
        <v>169631.1</v>
      </c>
      <c r="K74" s="28">
        <f t="shared" ref="K74:M74" si="97">SUM(K76:K81)</f>
        <v>36991.300000000003</v>
      </c>
      <c r="L74" s="28">
        <f t="shared" si="97"/>
        <v>132639.79999999999</v>
      </c>
      <c r="M74" s="28">
        <f t="shared" si="97"/>
        <v>0</v>
      </c>
      <c r="N74" s="27">
        <f t="shared" si="73"/>
        <v>146020</v>
      </c>
      <c r="O74" s="28">
        <f t="shared" ref="O74:T74" si="98">SUM(O76:O81)</f>
        <v>36887.300000000003</v>
      </c>
      <c r="P74" s="28">
        <f t="shared" si="98"/>
        <v>109132.7</v>
      </c>
      <c r="Q74" s="28">
        <f t="shared" si="98"/>
        <v>0</v>
      </c>
      <c r="R74" s="27">
        <f t="shared" si="74"/>
        <v>155515.79999999999</v>
      </c>
      <c r="S74" s="28">
        <f t="shared" si="98"/>
        <v>49342.2</v>
      </c>
      <c r="T74" s="28">
        <f t="shared" si="98"/>
        <v>106173.6</v>
      </c>
      <c r="U74" s="28">
        <f t="shared" ref="U74" si="99">SUM(U76:U81)</f>
        <v>0</v>
      </c>
      <c r="V74" s="29">
        <f t="shared" si="52"/>
        <v>1</v>
      </c>
    </row>
    <row r="75" spans="1:22" ht="18.75">
      <c r="A75" s="41"/>
      <c r="B75" s="42" t="s">
        <v>15</v>
      </c>
      <c r="C75" s="32"/>
      <c r="D75" s="32"/>
      <c r="E75" s="32"/>
      <c r="F75" s="28"/>
      <c r="G75" s="28"/>
      <c r="H75" s="28"/>
      <c r="I75" s="28"/>
      <c r="J75" s="28"/>
      <c r="K75" s="28"/>
      <c r="L75" s="28"/>
      <c r="M75" s="28"/>
      <c r="N75" s="27"/>
      <c r="O75" s="28"/>
      <c r="P75" s="28"/>
      <c r="Q75" s="28"/>
      <c r="R75" s="27"/>
      <c r="S75" s="28"/>
      <c r="T75" s="28"/>
      <c r="U75" s="28"/>
      <c r="V75" s="29"/>
    </row>
    <row r="76" spans="1:22" ht="55.5" customHeight="1">
      <c r="A76" s="41"/>
      <c r="B76" s="43" t="s">
        <v>310</v>
      </c>
      <c r="C76" s="36">
        <v>815</v>
      </c>
      <c r="D76" s="37" t="s">
        <v>50</v>
      </c>
      <c r="E76" s="67" t="s">
        <v>175</v>
      </c>
      <c r="F76" s="28">
        <f t="shared" si="51"/>
        <v>110336.4</v>
      </c>
      <c r="G76" s="33">
        <f>3932.1-622</f>
        <v>3310.1</v>
      </c>
      <c r="H76" s="33">
        <f>127137.1-20110.8</f>
        <v>107026.3</v>
      </c>
      <c r="I76" s="33"/>
      <c r="J76" s="28">
        <f t="shared" ref="J76:J82" si="100">K76+L76+M76</f>
        <v>110336.4</v>
      </c>
      <c r="K76" s="33">
        <f>25.6+9.9+14.5+10.9+15.9+3233.3</f>
        <v>3310.1</v>
      </c>
      <c r="L76" s="33">
        <f>828.4+320.1+470.1+353.9+512+104541.8</f>
        <v>107026.3</v>
      </c>
      <c r="M76" s="33"/>
      <c r="N76" s="27">
        <f t="shared" ref="N76:N82" si="101">O76+P76+Q76</f>
        <v>83973.6</v>
      </c>
      <c r="O76" s="33">
        <v>2519.1999999999998</v>
      </c>
      <c r="P76" s="33">
        <v>81454.399999999994</v>
      </c>
      <c r="Q76" s="33"/>
      <c r="R76" s="27">
        <f t="shared" ref="R76:R82" si="102">S76+T76+U76</f>
        <v>98511.5</v>
      </c>
      <c r="S76" s="33">
        <v>2955.3</v>
      </c>
      <c r="T76" s="33">
        <v>95556.2</v>
      </c>
      <c r="U76" s="33"/>
      <c r="V76" s="34">
        <f t="shared" si="52"/>
        <v>1</v>
      </c>
    </row>
    <row r="77" spans="1:22" ht="55.5" customHeight="1">
      <c r="A77" s="41"/>
      <c r="B77" s="43" t="s">
        <v>54</v>
      </c>
      <c r="C77" s="36">
        <v>815</v>
      </c>
      <c r="D77" s="37" t="s">
        <v>50</v>
      </c>
      <c r="E77" s="67" t="s">
        <v>219</v>
      </c>
      <c r="F77" s="28">
        <f t="shared" si="51"/>
        <v>518.29999999999995</v>
      </c>
      <c r="G77" s="33">
        <f>474.8+43.5</f>
        <v>518.29999999999995</v>
      </c>
      <c r="H77" s="33"/>
      <c r="I77" s="33"/>
      <c r="J77" s="28">
        <f t="shared" si="100"/>
        <v>456.3</v>
      </c>
      <c r="K77" s="33">
        <f>30.4+30+171.4+87.3+17.2+12+108</f>
        <v>456.3</v>
      </c>
      <c r="L77" s="33"/>
      <c r="M77" s="33"/>
      <c r="N77" s="27">
        <f t="shared" si="101"/>
        <v>547.20000000000005</v>
      </c>
      <c r="O77" s="33">
        <v>547.20000000000005</v>
      </c>
      <c r="P77" s="33"/>
      <c r="Q77" s="33"/>
      <c r="R77" s="27">
        <f t="shared" si="102"/>
        <v>864.6</v>
      </c>
      <c r="S77" s="33">
        <v>864.6</v>
      </c>
      <c r="T77" s="33"/>
      <c r="U77" s="33"/>
      <c r="V77" s="34">
        <f t="shared" si="52"/>
        <v>0.88</v>
      </c>
    </row>
    <row r="78" spans="1:22" ht="55.5" customHeight="1">
      <c r="A78" s="41"/>
      <c r="B78" s="43" t="s">
        <v>310</v>
      </c>
      <c r="C78" s="36">
        <v>816</v>
      </c>
      <c r="D78" s="37" t="s">
        <v>53</v>
      </c>
      <c r="E78" s="67" t="s">
        <v>175</v>
      </c>
      <c r="F78" s="27">
        <f t="shared" si="51"/>
        <v>14708</v>
      </c>
      <c r="G78" s="33">
        <f>512.9-71.7</f>
        <v>441.2</v>
      </c>
      <c r="H78" s="33">
        <f>16583.1-2316.3</f>
        <v>14266.8</v>
      </c>
      <c r="I78" s="33"/>
      <c r="J78" s="27">
        <f t="shared" si="100"/>
        <v>14708</v>
      </c>
      <c r="K78" s="33">
        <f>8+29.5+403.7</f>
        <v>441.2</v>
      </c>
      <c r="L78" s="33">
        <f>257.9+953.3+13055.6</f>
        <v>14266.8</v>
      </c>
      <c r="M78" s="33"/>
      <c r="N78" s="27">
        <f t="shared" si="101"/>
        <v>11090.8</v>
      </c>
      <c r="O78" s="33">
        <v>332.7</v>
      </c>
      <c r="P78" s="33">
        <v>10758.1</v>
      </c>
      <c r="Q78" s="33"/>
      <c r="R78" s="27">
        <f t="shared" si="102"/>
        <v>10945.8</v>
      </c>
      <c r="S78" s="33">
        <v>328.4</v>
      </c>
      <c r="T78" s="33">
        <v>10617.4</v>
      </c>
      <c r="U78" s="33"/>
      <c r="V78" s="34">
        <f t="shared" si="52"/>
        <v>1</v>
      </c>
    </row>
    <row r="79" spans="1:22" ht="33">
      <c r="A79" s="41"/>
      <c r="B79" s="43" t="s">
        <v>176</v>
      </c>
      <c r="C79" s="36">
        <v>815</v>
      </c>
      <c r="D79" s="37" t="s">
        <v>50</v>
      </c>
      <c r="E79" s="67" t="s">
        <v>177</v>
      </c>
      <c r="F79" s="27">
        <f t="shared" si="51"/>
        <v>11697.7</v>
      </c>
      <c r="G79" s="33">
        <v>351</v>
      </c>
      <c r="H79" s="33">
        <v>11346.7</v>
      </c>
      <c r="I79" s="33"/>
      <c r="J79" s="27">
        <f t="shared" si="100"/>
        <v>11697.7</v>
      </c>
      <c r="K79" s="33">
        <f>23.4+327.6</f>
        <v>351</v>
      </c>
      <c r="L79" s="33">
        <f>757.5+10589.2</f>
        <v>11346.7</v>
      </c>
      <c r="M79" s="33"/>
      <c r="N79" s="27">
        <f t="shared" si="101"/>
        <v>17443.5</v>
      </c>
      <c r="O79" s="33">
        <v>523.29999999999995</v>
      </c>
      <c r="P79" s="33">
        <v>16920.2</v>
      </c>
      <c r="Q79" s="33"/>
      <c r="R79" s="27">
        <f t="shared" si="102"/>
        <v>0</v>
      </c>
      <c r="S79" s="33"/>
      <c r="T79" s="33"/>
      <c r="U79" s="33"/>
      <c r="V79" s="34">
        <f t="shared" si="52"/>
        <v>1</v>
      </c>
    </row>
    <row r="80" spans="1:22" ht="53.25" customHeight="1">
      <c r="A80" s="41"/>
      <c r="B80" s="43" t="s">
        <v>245</v>
      </c>
      <c r="C80" s="36">
        <v>815</v>
      </c>
      <c r="D80" s="37" t="s">
        <v>50</v>
      </c>
      <c r="E80" s="41" t="s">
        <v>246</v>
      </c>
      <c r="F80" s="28">
        <f t="shared" si="51"/>
        <v>29458.1</v>
      </c>
      <c r="G80" s="33">
        <v>29458.1</v>
      </c>
      <c r="H80" s="33"/>
      <c r="I80" s="33"/>
      <c r="J80" s="28">
        <f t="shared" si="100"/>
        <v>29458.1</v>
      </c>
      <c r="K80" s="33">
        <f>14726.4+1577+2174.7+8550.4+301.7+573.9+1552.1+1.2+0.7</f>
        <v>29458.1</v>
      </c>
      <c r="L80" s="33"/>
      <c r="M80" s="33"/>
      <c r="N80" s="27">
        <f t="shared" si="101"/>
        <v>29315.7</v>
      </c>
      <c r="O80" s="33">
        <v>29315.7</v>
      </c>
      <c r="P80" s="33"/>
      <c r="Q80" s="33"/>
      <c r="R80" s="27">
        <f t="shared" si="102"/>
        <v>40803.4</v>
      </c>
      <c r="S80" s="33">
        <v>40803.4</v>
      </c>
      <c r="T80" s="33"/>
      <c r="U80" s="33"/>
      <c r="V80" s="34">
        <f t="shared" si="52"/>
        <v>1</v>
      </c>
    </row>
    <row r="81" spans="1:22" ht="53.25" customHeight="1">
      <c r="A81" s="41"/>
      <c r="B81" s="43" t="s">
        <v>55</v>
      </c>
      <c r="C81" s="36">
        <v>816</v>
      </c>
      <c r="D81" s="37" t="s">
        <v>53</v>
      </c>
      <c r="E81" s="67" t="s">
        <v>229</v>
      </c>
      <c r="F81" s="28">
        <f t="shared" si="51"/>
        <v>2974.6</v>
      </c>
      <c r="G81" s="33">
        <f>3194.1-219.5</f>
        <v>2974.6</v>
      </c>
      <c r="H81" s="33"/>
      <c r="I81" s="33"/>
      <c r="J81" s="28">
        <f t="shared" si="100"/>
        <v>2974.6</v>
      </c>
      <c r="K81" s="33">
        <f>1561.8+1421.8-9</f>
        <v>2974.6</v>
      </c>
      <c r="L81" s="33"/>
      <c r="M81" s="33"/>
      <c r="N81" s="27">
        <f t="shared" si="101"/>
        <v>3649.2</v>
      </c>
      <c r="O81" s="33">
        <v>3649.2</v>
      </c>
      <c r="P81" s="33"/>
      <c r="Q81" s="33"/>
      <c r="R81" s="27">
        <f t="shared" si="102"/>
        <v>4390.5</v>
      </c>
      <c r="S81" s="33">
        <v>4390.5</v>
      </c>
      <c r="T81" s="33"/>
      <c r="U81" s="33"/>
      <c r="V81" s="34">
        <f t="shared" si="52"/>
        <v>1</v>
      </c>
    </row>
    <row r="82" spans="1:22" ht="46.5" customHeight="1">
      <c r="A82" s="11" t="s">
        <v>56</v>
      </c>
      <c r="B82" s="25" t="s">
        <v>57</v>
      </c>
      <c r="C82" s="39" t="s">
        <v>12</v>
      </c>
      <c r="D82" s="39" t="s">
        <v>12</v>
      </c>
      <c r="E82" s="39" t="s">
        <v>12</v>
      </c>
      <c r="F82" s="28">
        <f t="shared" si="51"/>
        <v>121675.2</v>
      </c>
      <c r="G82" s="28">
        <f>SUM(G84:G89)</f>
        <v>31738.9</v>
      </c>
      <c r="H82" s="28">
        <f>SUM(H84:H89)</f>
        <v>87733.2</v>
      </c>
      <c r="I82" s="28">
        <f>SUM(I84:I89)</f>
        <v>2203.1</v>
      </c>
      <c r="J82" s="28">
        <f t="shared" si="100"/>
        <v>121184.2</v>
      </c>
      <c r="K82" s="28">
        <f>SUM(K84:K89)</f>
        <v>31727</v>
      </c>
      <c r="L82" s="28">
        <f>SUM(L84:L89)</f>
        <v>87348.7</v>
      </c>
      <c r="M82" s="28">
        <f>SUM(M84:M89)</f>
        <v>2108.5</v>
      </c>
      <c r="N82" s="27">
        <f t="shared" si="101"/>
        <v>41163.5</v>
      </c>
      <c r="O82" s="28">
        <f>SUM(O84:O89)</f>
        <v>33166.800000000003</v>
      </c>
      <c r="P82" s="28">
        <f>SUM(P84:P89)</f>
        <v>7996.7</v>
      </c>
      <c r="Q82" s="28">
        <f>SUM(Q84:Q89)</f>
        <v>0</v>
      </c>
      <c r="R82" s="27">
        <f t="shared" si="102"/>
        <v>372944.2</v>
      </c>
      <c r="S82" s="28">
        <f>SUM(S84:S89)</f>
        <v>173868.4</v>
      </c>
      <c r="T82" s="28">
        <f>SUM(T84:T89)</f>
        <v>199075.8</v>
      </c>
      <c r="U82" s="28">
        <f>SUM(U84:U89)</f>
        <v>0</v>
      </c>
      <c r="V82" s="29">
        <f t="shared" si="52"/>
        <v>0.996</v>
      </c>
    </row>
    <row r="83" spans="1:22" ht="18.75">
      <c r="A83" s="41"/>
      <c r="B83" s="42" t="s">
        <v>15</v>
      </c>
      <c r="C83" s="32"/>
      <c r="D83" s="32"/>
      <c r="E83" s="32"/>
      <c r="F83" s="28"/>
      <c r="G83" s="28"/>
      <c r="H83" s="28"/>
      <c r="I83" s="28"/>
      <c r="J83" s="28"/>
      <c r="K83" s="28"/>
      <c r="L83" s="28"/>
      <c r="M83" s="28"/>
      <c r="N83" s="27"/>
      <c r="O83" s="28"/>
      <c r="P83" s="28"/>
      <c r="Q83" s="28"/>
      <c r="R83" s="27"/>
      <c r="S83" s="28"/>
      <c r="T83" s="28"/>
      <c r="U83" s="28"/>
      <c r="V83" s="29"/>
    </row>
    <row r="84" spans="1:22" ht="75" customHeight="1">
      <c r="A84" s="41"/>
      <c r="B84" s="43" t="s">
        <v>169</v>
      </c>
      <c r="C84" s="36">
        <v>821</v>
      </c>
      <c r="D84" s="37" t="s">
        <v>19</v>
      </c>
      <c r="E84" s="67" t="s">
        <v>170</v>
      </c>
      <c r="F84" s="28">
        <f t="shared" si="51"/>
        <v>11438.6</v>
      </c>
      <c r="G84" s="33">
        <v>278</v>
      </c>
      <c r="H84" s="33">
        <v>8957.5</v>
      </c>
      <c r="I84" s="33">
        <v>2203.1</v>
      </c>
      <c r="J84" s="28">
        <f t="shared" ref="J84:J90" si="103">K84+L84+M84</f>
        <v>10947.8</v>
      </c>
      <c r="K84" s="33">
        <f>11.9+9.3+37.7+134.7+28.2+7.5+36.8</f>
        <v>266.10000000000002</v>
      </c>
      <c r="L84" s="33">
        <f>384.3+298.6+1213.7+4343.3+907.3+242.8+1183.2</f>
        <v>8573.2000000000007</v>
      </c>
      <c r="M84" s="33">
        <v>2108.5</v>
      </c>
      <c r="N84" s="27">
        <f t="shared" ref="N84:N90" si="104">O84+P84+Q84</f>
        <v>8244.1</v>
      </c>
      <c r="O84" s="33">
        <v>247.4</v>
      </c>
      <c r="P84" s="33">
        <v>7996.7</v>
      </c>
      <c r="Q84" s="33"/>
      <c r="R84" s="27">
        <f t="shared" ref="R84:R90" si="105">S84+T84+U84</f>
        <v>8088</v>
      </c>
      <c r="S84" s="33">
        <v>242.7</v>
      </c>
      <c r="T84" s="33">
        <v>7845.3</v>
      </c>
      <c r="U84" s="33"/>
      <c r="V84" s="34">
        <f t="shared" si="52"/>
        <v>0.95699999999999996</v>
      </c>
    </row>
    <row r="85" spans="1:22" ht="70.5" customHeight="1">
      <c r="A85" s="41"/>
      <c r="B85" s="43" t="s">
        <v>174</v>
      </c>
      <c r="C85" s="36">
        <v>815</v>
      </c>
      <c r="D85" s="37" t="s">
        <v>50</v>
      </c>
      <c r="E85" s="67" t="s">
        <v>173</v>
      </c>
      <c r="F85" s="27">
        <f t="shared" si="51"/>
        <v>81212</v>
      </c>
      <c r="G85" s="33">
        <f>2441.9-5.6</f>
        <v>2436.3000000000002</v>
      </c>
      <c r="H85" s="33">
        <f>78956-180.3</f>
        <v>78775.7</v>
      </c>
      <c r="I85" s="33"/>
      <c r="J85" s="27">
        <f t="shared" si="103"/>
        <v>81211.8</v>
      </c>
      <c r="K85" s="33">
        <f>37.6+1694.8+374.2+203.2+90.1+26.7+9.7</f>
        <v>2436.3000000000002</v>
      </c>
      <c r="L85" s="33">
        <f>1217.1+54798.3+12100.4+6568.7+2911.8+863.6+315.6</f>
        <v>78775.5</v>
      </c>
      <c r="M85" s="33"/>
      <c r="N85" s="27">
        <f t="shared" si="104"/>
        <v>0</v>
      </c>
      <c r="O85" s="33"/>
      <c r="P85" s="33"/>
      <c r="Q85" s="33"/>
      <c r="R85" s="27">
        <f t="shared" si="105"/>
        <v>0</v>
      </c>
      <c r="S85" s="33"/>
      <c r="T85" s="33"/>
      <c r="U85" s="33"/>
      <c r="V85" s="34">
        <f t="shared" si="52"/>
        <v>1</v>
      </c>
    </row>
    <row r="86" spans="1:22" ht="38.25" customHeight="1">
      <c r="A86" s="41"/>
      <c r="B86" s="43" t="s">
        <v>58</v>
      </c>
      <c r="C86" s="36">
        <v>815</v>
      </c>
      <c r="D86" s="37" t="s">
        <v>50</v>
      </c>
      <c r="E86" s="67" t="s">
        <v>220</v>
      </c>
      <c r="F86" s="27">
        <f t="shared" si="51"/>
        <v>7000</v>
      </c>
      <c r="G86" s="33">
        <v>7000</v>
      </c>
      <c r="H86" s="33"/>
      <c r="I86" s="33"/>
      <c r="J86" s="27">
        <f t="shared" si="103"/>
        <v>7000</v>
      </c>
      <c r="K86" s="33">
        <f>300+1800+1600+1800+1500</f>
        <v>7000</v>
      </c>
      <c r="L86" s="33"/>
      <c r="M86" s="33"/>
      <c r="N86" s="27">
        <f t="shared" si="104"/>
        <v>7000</v>
      </c>
      <c r="O86" s="33">
        <v>7000</v>
      </c>
      <c r="P86" s="33"/>
      <c r="Q86" s="33"/>
      <c r="R86" s="27">
        <f t="shared" si="105"/>
        <v>348757.8</v>
      </c>
      <c r="S86" s="33">
        <v>157527.29999999999</v>
      </c>
      <c r="T86" s="33">
        <v>191230.5</v>
      </c>
      <c r="U86" s="33"/>
      <c r="V86" s="34">
        <f t="shared" si="52"/>
        <v>1</v>
      </c>
    </row>
    <row r="87" spans="1:22" ht="39" customHeight="1">
      <c r="A87" s="41"/>
      <c r="B87" s="43" t="s">
        <v>59</v>
      </c>
      <c r="C87" s="36">
        <v>815</v>
      </c>
      <c r="D87" s="37" t="s">
        <v>50</v>
      </c>
      <c r="E87" s="41" t="s">
        <v>242</v>
      </c>
      <c r="F87" s="27">
        <f t="shared" si="51"/>
        <v>6000</v>
      </c>
      <c r="G87" s="33">
        <v>6000</v>
      </c>
      <c r="H87" s="33"/>
      <c r="I87" s="33"/>
      <c r="J87" s="27">
        <f t="shared" si="103"/>
        <v>6000</v>
      </c>
      <c r="K87" s="33">
        <v>6000</v>
      </c>
      <c r="L87" s="33"/>
      <c r="M87" s="33"/>
      <c r="N87" s="27">
        <f t="shared" si="104"/>
        <v>6000</v>
      </c>
      <c r="O87" s="33">
        <v>6000</v>
      </c>
      <c r="P87" s="33"/>
      <c r="Q87" s="33"/>
      <c r="R87" s="27">
        <f t="shared" si="105"/>
        <v>0</v>
      </c>
      <c r="S87" s="33"/>
      <c r="T87" s="33"/>
      <c r="U87" s="33"/>
      <c r="V87" s="34">
        <f t="shared" si="52"/>
        <v>1</v>
      </c>
    </row>
    <row r="88" spans="1:22" ht="66">
      <c r="A88" s="41"/>
      <c r="B88" s="43" t="s">
        <v>243</v>
      </c>
      <c r="C88" s="36">
        <v>815</v>
      </c>
      <c r="D88" s="37" t="s">
        <v>50</v>
      </c>
      <c r="E88" s="41" t="s">
        <v>244</v>
      </c>
      <c r="F88" s="27">
        <f t="shared" si="51"/>
        <v>3821</v>
      </c>
      <c r="G88" s="33">
        <v>3821</v>
      </c>
      <c r="H88" s="33"/>
      <c r="I88" s="33"/>
      <c r="J88" s="27">
        <f t="shared" si="103"/>
        <v>3821</v>
      </c>
      <c r="K88" s="33">
        <v>3821</v>
      </c>
      <c r="L88" s="33"/>
      <c r="M88" s="33"/>
      <c r="N88" s="27">
        <f t="shared" si="104"/>
        <v>3821</v>
      </c>
      <c r="O88" s="33">
        <v>3821</v>
      </c>
      <c r="P88" s="33"/>
      <c r="Q88" s="33"/>
      <c r="R88" s="27">
        <f t="shared" si="105"/>
        <v>0</v>
      </c>
      <c r="S88" s="33"/>
      <c r="T88" s="33"/>
      <c r="U88" s="33"/>
      <c r="V88" s="34">
        <f t="shared" si="52"/>
        <v>1</v>
      </c>
    </row>
    <row r="89" spans="1:22" ht="34.5" customHeight="1">
      <c r="A89" s="41"/>
      <c r="B89" s="43" t="s">
        <v>172</v>
      </c>
      <c r="C89" s="36">
        <v>815</v>
      </c>
      <c r="D89" s="37" t="s">
        <v>50</v>
      </c>
      <c r="E89" s="41" t="s">
        <v>171</v>
      </c>
      <c r="F89" s="28">
        <f t="shared" si="51"/>
        <v>12203.6</v>
      </c>
      <c r="G89" s="33">
        <f>16104.4-3900.8</f>
        <v>12203.6</v>
      </c>
      <c r="H89" s="33"/>
      <c r="I89" s="33"/>
      <c r="J89" s="28">
        <f t="shared" si="103"/>
        <v>12203.6</v>
      </c>
      <c r="K89" s="33">
        <v>12203.6</v>
      </c>
      <c r="L89" s="33"/>
      <c r="M89" s="33"/>
      <c r="N89" s="27">
        <f t="shared" si="104"/>
        <v>16098.4</v>
      </c>
      <c r="O89" s="33">
        <v>16098.4</v>
      </c>
      <c r="P89" s="33"/>
      <c r="Q89" s="33"/>
      <c r="R89" s="27">
        <f t="shared" si="105"/>
        <v>16098.4</v>
      </c>
      <c r="S89" s="33">
        <v>16098.4</v>
      </c>
      <c r="T89" s="33"/>
      <c r="U89" s="33"/>
      <c r="V89" s="34">
        <f t="shared" si="52"/>
        <v>1</v>
      </c>
    </row>
    <row r="90" spans="1:22" ht="66">
      <c r="A90" s="11" t="s">
        <v>60</v>
      </c>
      <c r="B90" s="25" t="s">
        <v>61</v>
      </c>
      <c r="C90" s="39" t="s">
        <v>12</v>
      </c>
      <c r="D90" s="39" t="s">
        <v>12</v>
      </c>
      <c r="E90" s="39" t="s">
        <v>12</v>
      </c>
      <c r="F90" s="28">
        <f t="shared" si="51"/>
        <v>65398</v>
      </c>
      <c r="G90" s="28">
        <f t="shared" ref="G90:H90" si="106">SUM(G92:G97)</f>
        <v>65398</v>
      </c>
      <c r="H90" s="28">
        <f t="shared" si="106"/>
        <v>0</v>
      </c>
      <c r="I90" s="28">
        <f t="shared" ref="I90" si="107">SUM(I92:I97)</f>
        <v>0</v>
      </c>
      <c r="J90" s="28">
        <f t="shared" si="103"/>
        <v>65398</v>
      </c>
      <c r="K90" s="28">
        <f t="shared" ref="K90:M90" si="108">SUM(K92:K97)</f>
        <v>65398</v>
      </c>
      <c r="L90" s="28">
        <f t="shared" si="108"/>
        <v>0</v>
      </c>
      <c r="M90" s="28">
        <f t="shared" si="108"/>
        <v>0</v>
      </c>
      <c r="N90" s="27">
        <f t="shared" si="104"/>
        <v>44170</v>
      </c>
      <c r="O90" s="28">
        <f t="shared" ref="O90:T90" si="109">SUM(O92:O97)</f>
        <v>44170</v>
      </c>
      <c r="P90" s="28">
        <f t="shared" si="109"/>
        <v>0</v>
      </c>
      <c r="Q90" s="28">
        <f t="shared" si="109"/>
        <v>0</v>
      </c>
      <c r="R90" s="27">
        <f t="shared" si="105"/>
        <v>44170</v>
      </c>
      <c r="S90" s="28">
        <f t="shared" si="109"/>
        <v>44170</v>
      </c>
      <c r="T90" s="28">
        <f t="shared" si="109"/>
        <v>0</v>
      </c>
      <c r="U90" s="28">
        <f t="shared" ref="U90" si="110">SUM(U92:U97)</f>
        <v>0</v>
      </c>
      <c r="V90" s="29">
        <f t="shared" si="52"/>
        <v>1</v>
      </c>
    </row>
    <row r="91" spans="1:22" ht="18.75">
      <c r="A91" s="14"/>
      <c r="B91" s="31" t="s">
        <v>15</v>
      </c>
      <c r="C91" s="63"/>
      <c r="D91" s="63"/>
      <c r="E91" s="63"/>
      <c r="F91" s="28"/>
      <c r="G91" s="28"/>
      <c r="H91" s="28"/>
      <c r="I91" s="28"/>
      <c r="J91" s="28"/>
      <c r="K91" s="28"/>
      <c r="L91" s="28"/>
      <c r="M91" s="28"/>
      <c r="N91" s="27"/>
      <c r="O91" s="28"/>
      <c r="P91" s="28"/>
      <c r="Q91" s="28"/>
      <c r="R91" s="27"/>
      <c r="S91" s="28"/>
      <c r="T91" s="28"/>
      <c r="U91" s="28"/>
      <c r="V91" s="29"/>
    </row>
    <row r="92" spans="1:22" ht="82.5">
      <c r="A92" s="41"/>
      <c r="B92" s="43" t="s">
        <v>223</v>
      </c>
      <c r="C92" s="36">
        <v>816</v>
      </c>
      <c r="D92" s="37" t="s">
        <v>53</v>
      </c>
      <c r="E92" s="36" t="s">
        <v>222</v>
      </c>
      <c r="F92" s="28">
        <f t="shared" si="51"/>
        <v>0</v>
      </c>
      <c r="G92" s="33">
        <f>16630-16630</f>
        <v>0</v>
      </c>
      <c r="H92" s="33"/>
      <c r="I92" s="33"/>
      <c r="J92" s="28">
        <f t="shared" ref="J92:J97" si="111">K92+L92+M92</f>
        <v>0</v>
      </c>
      <c r="K92" s="33"/>
      <c r="L92" s="33"/>
      <c r="M92" s="33"/>
      <c r="N92" s="27">
        <f t="shared" ref="N92:N97" si="112">O92+P92+Q92</f>
        <v>0</v>
      </c>
      <c r="O92" s="33">
        <f>16630-16630</f>
        <v>0</v>
      </c>
      <c r="P92" s="33"/>
      <c r="Q92" s="33"/>
      <c r="R92" s="27">
        <f t="shared" ref="R92:R97" si="113">S92+T92+U92</f>
        <v>0</v>
      </c>
      <c r="S92" s="33">
        <f>16630-16630</f>
        <v>0</v>
      </c>
      <c r="T92" s="33"/>
      <c r="U92" s="33"/>
      <c r="V92" s="34"/>
    </row>
    <row r="93" spans="1:22" ht="42" customHeight="1">
      <c r="A93" s="41"/>
      <c r="B93" s="43" t="s">
        <v>63</v>
      </c>
      <c r="C93" s="36">
        <v>816</v>
      </c>
      <c r="D93" s="37" t="s">
        <v>53</v>
      </c>
      <c r="E93" s="67" t="s">
        <v>230</v>
      </c>
      <c r="F93" s="27">
        <f t="shared" si="51"/>
        <v>45240</v>
      </c>
      <c r="G93" s="33">
        <v>45240</v>
      </c>
      <c r="H93" s="33"/>
      <c r="I93" s="33"/>
      <c r="J93" s="27">
        <f t="shared" si="111"/>
        <v>45240</v>
      </c>
      <c r="K93" s="33">
        <f>17000+3800+3800+3800+3800+3800+3800+5440</f>
        <v>45240</v>
      </c>
      <c r="L93" s="33"/>
      <c r="M93" s="33"/>
      <c r="N93" s="27">
        <f t="shared" si="112"/>
        <v>33000</v>
      </c>
      <c r="O93" s="33">
        <v>33000</v>
      </c>
      <c r="P93" s="33"/>
      <c r="Q93" s="33"/>
      <c r="R93" s="27">
        <f t="shared" si="113"/>
        <v>33000</v>
      </c>
      <c r="S93" s="33">
        <v>33000</v>
      </c>
      <c r="T93" s="33"/>
      <c r="U93" s="33"/>
      <c r="V93" s="34">
        <f t="shared" si="52"/>
        <v>1</v>
      </c>
    </row>
    <row r="94" spans="1:22" ht="66">
      <c r="A94" s="41"/>
      <c r="B94" s="43" t="s">
        <v>62</v>
      </c>
      <c r="C94" s="36">
        <v>816</v>
      </c>
      <c r="D94" s="37" t="s">
        <v>53</v>
      </c>
      <c r="E94" s="67" t="s">
        <v>224</v>
      </c>
      <c r="F94" s="27">
        <f t="shared" si="51"/>
        <v>11170</v>
      </c>
      <c r="G94" s="33">
        <v>11170</v>
      </c>
      <c r="H94" s="33"/>
      <c r="I94" s="33"/>
      <c r="J94" s="27">
        <f t="shared" si="111"/>
        <v>11170</v>
      </c>
      <c r="K94" s="33">
        <f>3432.6+1697.4+1688.6+2284.2+1158.6+908.6</f>
        <v>11170</v>
      </c>
      <c r="L94" s="33"/>
      <c r="M94" s="33"/>
      <c r="N94" s="27">
        <f t="shared" si="112"/>
        <v>0</v>
      </c>
      <c r="O94" s="33"/>
      <c r="P94" s="33"/>
      <c r="Q94" s="33"/>
      <c r="R94" s="27">
        <f t="shared" si="113"/>
        <v>0</v>
      </c>
      <c r="S94" s="33"/>
      <c r="T94" s="33"/>
      <c r="U94" s="33"/>
      <c r="V94" s="34">
        <f t="shared" si="52"/>
        <v>1</v>
      </c>
    </row>
    <row r="95" spans="1:22" ht="72" customHeight="1">
      <c r="A95" s="41"/>
      <c r="B95" s="43" t="s">
        <v>64</v>
      </c>
      <c r="C95" s="36">
        <v>816</v>
      </c>
      <c r="D95" s="37" t="s">
        <v>53</v>
      </c>
      <c r="E95" s="67" t="s">
        <v>225</v>
      </c>
      <c r="F95" s="27">
        <f t="shared" si="51"/>
        <v>8988</v>
      </c>
      <c r="G95" s="33">
        <f>11170-2182</f>
        <v>8988</v>
      </c>
      <c r="H95" s="33"/>
      <c r="I95" s="33"/>
      <c r="J95" s="27">
        <f t="shared" si="111"/>
        <v>8988</v>
      </c>
      <c r="K95" s="33">
        <f>4642.9+4345.1</f>
        <v>8988</v>
      </c>
      <c r="L95" s="33"/>
      <c r="M95" s="33"/>
      <c r="N95" s="27">
        <f t="shared" si="112"/>
        <v>11170</v>
      </c>
      <c r="O95" s="33">
        <v>11170</v>
      </c>
      <c r="P95" s="33"/>
      <c r="Q95" s="33"/>
      <c r="R95" s="27">
        <f t="shared" si="113"/>
        <v>11170</v>
      </c>
      <c r="S95" s="33">
        <v>11170</v>
      </c>
      <c r="T95" s="33"/>
      <c r="U95" s="33"/>
      <c r="V95" s="34">
        <f t="shared" si="52"/>
        <v>1</v>
      </c>
    </row>
    <row r="96" spans="1:22" ht="86.25" customHeight="1">
      <c r="A96" s="41"/>
      <c r="B96" s="53" t="s">
        <v>65</v>
      </c>
      <c r="C96" s="36">
        <v>816</v>
      </c>
      <c r="D96" s="37" t="s">
        <v>53</v>
      </c>
      <c r="E96" s="67" t="s">
        <v>221</v>
      </c>
      <c r="F96" s="27">
        <f t="shared" si="51"/>
        <v>0</v>
      </c>
      <c r="G96" s="33">
        <f>20-20</f>
        <v>0</v>
      </c>
      <c r="H96" s="33"/>
      <c r="I96" s="33"/>
      <c r="J96" s="27">
        <f t="shared" si="111"/>
        <v>0</v>
      </c>
      <c r="K96" s="33"/>
      <c r="L96" s="33"/>
      <c r="M96" s="33"/>
      <c r="N96" s="27">
        <f t="shared" si="112"/>
        <v>0</v>
      </c>
      <c r="O96" s="33">
        <f>20-20</f>
        <v>0</v>
      </c>
      <c r="P96" s="33"/>
      <c r="Q96" s="33"/>
      <c r="R96" s="27">
        <f t="shared" si="113"/>
        <v>0</v>
      </c>
      <c r="S96" s="33">
        <f>20-20</f>
        <v>0</v>
      </c>
      <c r="T96" s="33"/>
      <c r="U96" s="33"/>
      <c r="V96" s="34"/>
    </row>
    <row r="97" spans="1:22" ht="63.75" customHeight="1">
      <c r="A97" s="41"/>
      <c r="B97" s="53" t="s">
        <v>66</v>
      </c>
      <c r="C97" s="36">
        <v>816</v>
      </c>
      <c r="D97" s="37" t="s">
        <v>53</v>
      </c>
      <c r="E97" s="67" t="s">
        <v>226</v>
      </c>
      <c r="F97" s="27">
        <f t="shared" ref="F97:F138" si="114">G97+H97+I97</f>
        <v>0</v>
      </c>
      <c r="G97" s="33">
        <v>0</v>
      </c>
      <c r="H97" s="33"/>
      <c r="I97" s="33"/>
      <c r="J97" s="27">
        <f t="shared" si="111"/>
        <v>0</v>
      </c>
      <c r="K97" s="33"/>
      <c r="L97" s="33"/>
      <c r="M97" s="33"/>
      <c r="N97" s="27">
        <f t="shared" si="112"/>
        <v>0</v>
      </c>
      <c r="O97" s="33"/>
      <c r="P97" s="33"/>
      <c r="Q97" s="33"/>
      <c r="R97" s="27">
        <f t="shared" si="113"/>
        <v>0</v>
      </c>
      <c r="S97" s="33"/>
      <c r="T97" s="33"/>
      <c r="U97" s="33"/>
      <c r="V97" s="34"/>
    </row>
    <row r="98" spans="1:22" ht="28.5" customHeight="1">
      <c r="A98" s="19" t="s">
        <v>67</v>
      </c>
      <c r="B98" s="68" t="s">
        <v>68</v>
      </c>
      <c r="C98" s="21" t="s">
        <v>12</v>
      </c>
      <c r="D98" s="21" t="s">
        <v>12</v>
      </c>
      <c r="E98" s="21" t="s">
        <v>12</v>
      </c>
      <c r="F98" s="50">
        <f t="shared" si="114"/>
        <v>43264.9</v>
      </c>
      <c r="G98" s="50">
        <f>G99+G102+G106+G110+G116</f>
        <v>23599.7</v>
      </c>
      <c r="H98" s="50">
        <f>H99+H102+H106+H110+H116</f>
        <v>19665.2</v>
      </c>
      <c r="I98" s="50">
        <f>I99+I102+I106+I110+I116</f>
        <v>0</v>
      </c>
      <c r="J98" s="50">
        <f t="shared" ref="J98:J99" si="115">K98+L98+M98</f>
        <v>43264.800000000003</v>
      </c>
      <c r="K98" s="50">
        <f>K99+K102+K106+K110+K116</f>
        <v>23599.7</v>
      </c>
      <c r="L98" s="50">
        <f>L99+L102+L106+L110+L116</f>
        <v>19665.099999999999</v>
      </c>
      <c r="M98" s="50">
        <f>M99+M102+M106+M110+M116</f>
        <v>0</v>
      </c>
      <c r="N98" s="50">
        <f t="shared" ref="N98:N99" si="116">O98+P98+Q98</f>
        <v>50781.4</v>
      </c>
      <c r="O98" s="50">
        <f>O99+O102+O106+O110+O116</f>
        <v>16311.1</v>
      </c>
      <c r="P98" s="50">
        <f>P99+P102+P106+P110+P116</f>
        <v>34470.300000000003</v>
      </c>
      <c r="Q98" s="50">
        <f>Q99+Q102+Q106+Q110+Q116</f>
        <v>0</v>
      </c>
      <c r="R98" s="50">
        <f t="shared" ref="R98:R99" si="117">S98+T98+U98</f>
        <v>88625.8</v>
      </c>
      <c r="S98" s="50">
        <f>S99+S102+S106+S110+S116</f>
        <v>15451</v>
      </c>
      <c r="T98" s="50">
        <f>T99+T102+T106+T110+T116</f>
        <v>73174.8</v>
      </c>
      <c r="U98" s="50">
        <f>U99+U102+U106+U110+U116</f>
        <v>0</v>
      </c>
      <c r="V98" s="51">
        <f t="shared" ref="V98:V138" si="118">J98/F98</f>
        <v>1</v>
      </c>
    </row>
    <row r="99" spans="1:22" ht="33">
      <c r="A99" s="11" t="s">
        <v>69</v>
      </c>
      <c r="B99" s="25" t="s">
        <v>70</v>
      </c>
      <c r="C99" s="39" t="s">
        <v>12</v>
      </c>
      <c r="D99" s="39" t="s">
        <v>12</v>
      </c>
      <c r="E99" s="26" t="s">
        <v>12</v>
      </c>
      <c r="F99" s="28">
        <f t="shared" si="114"/>
        <v>122.4</v>
      </c>
      <c r="G99" s="28">
        <f>SUM(G101:G101)</f>
        <v>122.4</v>
      </c>
      <c r="H99" s="28">
        <f>SUM(H101:H101)</f>
        <v>0</v>
      </c>
      <c r="I99" s="28">
        <f>SUM(I101:I101)</f>
        <v>0</v>
      </c>
      <c r="J99" s="28">
        <f t="shared" si="115"/>
        <v>122.4</v>
      </c>
      <c r="K99" s="28">
        <f>SUM(K101:K101)</f>
        <v>122.4</v>
      </c>
      <c r="L99" s="28">
        <f>SUM(L101:L101)</f>
        <v>0</v>
      </c>
      <c r="M99" s="28">
        <f>SUM(M101:M101)</f>
        <v>0</v>
      </c>
      <c r="N99" s="27">
        <f t="shared" si="116"/>
        <v>0</v>
      </c>
      <c r="O99" s="28">
        <f>SUM(O101:O101)</f>
        <v>0</v>
      </c>
      <c r="P99" s="28">
        <f>SUM(P101:P101)</f>
        <v>0</v>
      </c>
      <c r="Q99" s="28">
        <f>SUM(Q101:Q101)</f>
        <v>0</v>
      </c>
      <c r="R99" s="27">
        <f t="shared" si="117"/>
        <v>0</v>
      </c>
      <c r="S99" s="28">
        <f>SUM(S101:S101)</f>
        <v>0</v>
      </c>
      <c r="T99" s="28">
        <f>SUM(T101:T101)</f>
        <v>0</v>
      </c>
      <c r="U99" s="28">
        <f>SUM(U101:U101)</f>
        <v>0</v>
      </c>
      <c r="V99" s="40">
        <f t="shared" si="118"/>
        <v>1</v>
      </c>
    </row>
    <row r="100" spans="1:22" ht="18.75">
      <c r="A100" s="24"/>
      <c r="B100" s="69" t="s">
        <v>15</v>
      </c>
      <c r="C100" s="70"/>
      <c r="D100" s="70"/>
      <c r="E100" s="70"/>
      <c r="F100" s="28"/>
      <c r="G100" s="28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28"/>
      <c r="S100" s="28"/>
      <c r="T100" s="28"/>
      <c r="U100" s="28"/>
      <c r="V100" s="40"/>
    </row>
    <row r="101" spans="1:22" ht="157.15" customHeight="1">
      <c r="A101" s="41"/>
      <c r="B101" s="43" t="s">
        <v>251</v>
      </c>
      <c r="C101" s="36">
        <v>815</v>
      </c>
      <c r="D101" s="37" t="s">
        <v>50</v>
      </c>
      <c r="E101" s="67" t="s">
        <v>252</v>
      </c>
      <c r="F101" s="28">
        <f t="shared" si="114"/>
        <v>122.4</v>
      </c>
      <c r="G101" s="33">
        <v>122.4</v>
      </c>
      <c r="H101" s="33"/>
      <c r="I101" s="33"/>
      <c r="J101" s="28">
        <f t="shared" ref="J101:J102" si="119">K101+L101+M101</f>
        <v>122.4</v>
      </c>
      <c r="K101" s="33">
        <v>122.4</v>
      </c>
      <c r="L101" s="33"/>
      <c r="M101" s="33"/>
      <c r="N101" s="28">
        <f t="shared" ref="N101:N102" si="120">O101+P101+Q101</f>
        <v>0</v>
      </c>
      <c r="O101" s="33"/>
      <c r="P101" s="33"/>
      <c r="Q101" s="33"/>
      <c r="R101" s="28">
        <f t="shared" ref="R101:R102" si="121">S101+T101+U101</f>
        <v>0</v>
      </c>
      <c r="S101" s="33"/>
      <c r="T101" s="33"/>
      <c r="U101" s="33"/>
      <c r="V101" s="71">
        <f t="shared" si="118"/>
        <v>1</v>
      </c>
    </row>
    <row r="102" spans="1:22" ht="18.75">
      <c r="A102" s="24" t="s">
        <v>71</v>
      </c>
      <c r="B102" s="54" t="s">
        <v>72</v>
      </c>
      <c r="C102" s="70" t="s">
        <v>12</v>
      </c>
      <c r="D102" s="70" t="s">
        <v>12</v>
      </c>
      <c r="E102" s="70" t="s">
        <v>12</v>
      </c>
      <c r="F102" s="27">
        <f t="shared" si="114"/>
        <v>6000</v>
      </c>
      <c r="G102" s="28">
        <f>SUM(G104:G105)</f>
        <v>6000</v>
      </c>
      <c r="H102" s="28">
        <f t="shared" ref="H102:I102" si="122">SUM(H104:H105)</f>
        <v>0</v>
      </c>
      <c r="I102" s="28">
        <f t="shared" si="122"/>
        <v>0</v>
      </c>
      <c r="J102" s="27">
        <f t="shared" si="119"/>
        <v>6000</v>
      </c>
      <c r="K102" s="28">
        <f>SUM(K104:K105)</f>
        <v>6000</v>
      </c>
      <c r="L102" s="28">
        <f t="shared" ref="L102:M102" si="123">SUM(L104:L105)</f>
        <v>0</v>
      </c>
      <c r="M102" s="28">
        <f t="shared" si="123"/>
        <v>0</v>
      </c>
      <c r="N102" s="28">
        <f t="shared" si="120"/>
        <v>0</v>
      </c>
      <c r="O102" s="28">
        <f>SUM(O104:O105)</f>
        <v>0</v>
      </c>
      <c r="P102" s="28">
        <f t="shared" ref="P102:Q102" si="124">SUM(P104:P105)</f>
        <v>0</v>
      </c>
      <c r="Q102" s="28">
        <f t="shared" si="124"/>
        <v>0</v>
      </c>
      <c r="R102" s="28">
        <f t="shared" si="121"/>
        <v>0</v>
      </c>
      <c r="S102" s="28">
        <f>SUM(S105:S105)</f>
        <v>0</v>
      </c>
      <c r="T102" s="28">
        <f>SUM(T105:T105)</f>
        <v>0</v>
      </c>
      <c r="U102" s="28">
        <f>SUM(U105:U105)</f>
        <v>0</v>
      </c>
      <c r="V102" s="40">
        <f t="shared" si="118"/>
        <v>1</v>
      </c>
    </row>
    <row r="103" spans="1:22" ht="18.75">
      <c r="A103" s="41"/>
      <c r="B103" s="69" t="s">
        <v>15</v>
      </c>
      <c r="C103" s="32"/>
      <c r="D103" s="44"/>
      <c r="E103" s="72"/>
      <c r="F103" s="27"/>
      <c r="G103" s="28"/>
      <c r="H103" s="28"/>
      <c r="I103" s="28"/>
      <c r="J103" s="27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40"/>
    </row>
    <row r="104" spans="1:22" ht="55.9" customHeight="1">
      <c r="A104" s="41"/>
      <c r="B104" s="43" t="s">
        <v>361</v>
      </c>
      <c r="C104" s="36">
        <v>827</v>
      </c>
      <c r="D104" s="37" t="s">
        <v>363</v>
      </c>
      <c r="E104" s="67" t="s">
        <v>362</v>
      </c>
      <c r="F104" s="27">
        <f t="shared" ref="F104" si="125">G104+H104+I104</f>
        <v>6000</v>
      </c>
      <c r="G104" s="33">
        <f>6000</f>
        <v>6000</v>
      </c>
      <c r="H104" s="33"/>
      <c r="I104" s="33"/>
      <c r="J104" s="27">
        <f t="shared" ref="J104" si="126">K104+L104+M104</f>
        <v>6000</v>
      </c>
      <c r="K104" s="33">
        <f>5400+600</f>
        <v>6000</v>
      </c>
      <c r="L104" s="33"/>
      <c r="M104" s="33"/>
      <c r="N104" s="28">
        <f t="shared" ref="N104" si="127">O104+P104+Q104</f>
        <v>0</v>
      </c>
      <c r="O104" s="33"/>
      <c r="P104" s="33"/>
      <c r="Q104" s="33"/>
      <c r="R104" s="28">
        <f t="shared" ref="R104" si="128">S104+T104+U104</f>
        <v>0</v>
      </c>
      <c r="S104" s="33"/>
      <c r="T104" s="33"/>
      <c r="U104" s="33"/>
      <c r="V104" s="71">
        <f t="shared" ref="V104" si="129">J104/F104</f>
        <v>1</v>
      </c>
    </row>
    <row r="105" spans="1:22" ht="66">
      <c r="A105" s="41"/>
      <c r="B105" s="43" t="s">
        <v>73</v>
      </c>
      <c r="C105" s="36">
        <v>840</v>
      </c>
      <c r="D105" s="37" t="s">
        <v>74</v>
      </c>
      <c r="E105" s="67" t="s">
        <v>235</v>
      </c>
      <c r="F105" s="27">
        <f t="shared" si="114"/>
        <v>0</v>
      </c>
      <c r="G105" s="33">
        <f>20000-14000-6000</f>
        <v>0</v>
      </c>
      <c r="H105" s="33"/>
      <c r="I105" s="33"/>
      <c r="J105" s="27">
        <f t="shared" ref="J105:J106" si="130">K105+L105+M105</f>
        <v>0</v>
      </c>
      <c r="K105" s="33"/>
      <c r="L105" s="33"/>
      <c r="M105" s="33"/>
      <c r="N105" s="28">
        <f t="shared" ref="N105:N106" si="131">O105+P105+Q105</f>
        <v>0</v>
      </c>
      <c r="O105" s="33"/>
      <c r="P105" s="33"/>
      <c r="Q105" s="33"/>
      <c r="R105" s="28">
        <f t="shared" ref="R105:R106" si="132">S105+T105+U105</f>
        <v>0</v>
      </c>
      <c r="S105" s="33"/>
      <c r="T105" s="33"/>
      <c r="U105" s="33"/>
      <c r="V105" s="71"/>
    </row>
    <row r="106" spans="1:22" ht="33">
      <c r="A106" s="24" t="s">
        <v>75</v>
      </c>
      <c r="B106" s="54" t="s">
        <v>76</v>
      </c>
      <c r="C106" s="26" t="s">
        <v>12</v>
      </c>
      <c r="D106" s="26" t="s">
        <v>12</v>
      </c>
      <c r="E106" s="26" t="s">
        <v>12</v>
      </c>
      <c r="F106" s="27">
        <f t="shared" si="114"/>
        <v>0</v>
      </c>
      <c r="G106" s="28">
        <f>SUM(G108:G109)</f>
        <v>0</v>
      </c>
      <c r="H106" s="28">
        <f>SUM(H108:H109)</f>
        <v>0</v>
      </c>
      <c r="I106" s="28">
        <f>SUM(I108:I109)</f>
        <v>0</v>
      </c>
      <c r="J106" s="27">
        <f t="shared" si="130"/>
        <v>0</v>
      </c>
      <c r="K106" s="28">
        <f>SUM(K108:K109)</f>
        <v>0</v>
      </c>
      <c r="L106" s="28">
        <f>SUM(L108:L109)</f>
        <v>0</v>
      </c>
      <c r="M106" s="28">
        <f>SUM(M108:M109)</f>
        <v>0</v>
      </c>
      <c r="N106" s="28">
        <f t="shared" si="131"/>
        <v>0</v>
      </c>
      <c r="O106" s="28">
        <f>SUM(O108:O109)</f>
        <v>0</v>
      </c>
      <c r="P106" s="28">
        <f>SUM(P108:P109)</f>
        <v>0</v>
      </c>
      <c r="Q106" s="28">
        <f>SUM(Q108:Q109)</f>
        <v>0</v>
      </c>
      <c r="R106" s="28">
        <f t="shared" si="132"/>
        <v>0</v>
      </c>
      <c r="S106" s="28">
        <f>SUM(S108:S109)</f>
        <v>0</v>
      </c>
      <c r="T106" s="28">
        <f>SUM(T108:T109)</f>
        <v>0</v>
      </c>
      <c r="U106" s="28">
        <f>SUM(U108:U109)</f>
        <v>0</v>
      </c>
      <c r="V106" s="40"/>
    </row>
    <row r="107" spans="1:22" ht="18.75">
      <c r="A107" s="41"/>
      <c r="B107" s="69" t="s">
        <v>15</v>
      </c>
      <c r="C107" s="32"/>
      <c r="D107" s="44"/>
      <c r="E107" s="72"/>
      <c r="F107" s="27"/>
      <c r="G107" s="28"/>
      <c r="H107" s="28"/>
      <c r="I107" s="28"/>
      <c r="J107" s="27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U107" s="28"/>
      <c r="V107" s="40"/>
    </row>
    <row r="108" spans="1:22" ht="49.5">
      <c r="A108" s="41"/>
      <c r="B108" s="43" t="s">
        <v>207</v>
      </c>
      <c r="C108" s="36">
        <v>804</v>
      </c>
      <c r="D108" s="37" t="s">
        <v>77</v>
      </c>
      <c r="E108" s="41" t="s">
        <v>206</v>
      </c>
      <c r="F108" s="27">
        <f t="shared" si="114"/>
        <v>0</v>
      </c>
      <c r="G108" s="33"/>
      <c r="H108" s="33"/>
      <c r="I108" s="33"/>
      <c r="J108" s="27">
        <f t="shared" ref="J108:J110" si="133">K108+L108+M108</f>
        <v>0</v>
      </c>
      <c r="K108" s="33"/>
      <c r="L108" s="33"/>
      <c r="M108" s="33"/>
      <c r="N108" s="28">
        <f t="shared" ref="N108:N110" si="134">O108+P108+Q108</f>
        <v>0</v>
      </c>
      <c r="O108" s="33"/>
      <c r="P108" s="33"/>
      <c r="Q108" s="33"/>
      <c r="R108" s="28">
        <f t="shared" ref="R108:R110" si="135">S108+T108+U108</f>
        <v>0</v>
      </c>
      <c r="S108" s="33"/>
      <c r="T108" s="33"/>
      <c r="U108" s="33"/>
      <c r="V108" s="71"/>
    </row>
    <row r="109" spans="1:22" ht="66">
      <c r="A109" s="41"/>
      <c r="B109" s="43" t="s">
        <v>209</v>
      </c>
      <c r="C109" s="36">
        <v>804</v>
      </c>
      <c r="D109" s="37" t="s">
        <v>77</v>
      </c>
      <c r="E109" s="41" t="s">
        <v>208</v>
      </c>
      <c r="F109" s="27">
        <f t="shared" si="114"/>
        <v>0</v>
      </c>
      <c r="G109" s="33"/>
      <c r="H109" s="33"/>
      <c r="I109" s="33"/>
      <c r="J109" s="27">
        <f t="shared" si="133"/>
        <v>0</v>
      </c>
      <c r="K109" s="33"/>
      <c r="L109" s="33"/>
      <c r="M109" s="33"/>
      <c r="N109" s="28">
        <f t="shared" si="134"/>
        <v>0</v>
      </c>
      <c r="O109" s="33"/>
      <c r="P109" s="33"/>
      <c r="Q109" s="33"/>
      <c r="R109" s="28">
        <f t="shared" si="135"/>
        <v>0</v>
      </c>
      <c r="S109" s="33"/>
      <c r="T109" s="33"/>
      <c r="U109" s="33"/>
      <c r="V109" s="71"/>
    </row>
    <row r="110" spans="1:22" ht="33">
      <c r="A110" s="11" t="s">
        <v>78</v>
      </c>
      <c r="B110" s="25" t="s">
        <v>79</v>
      </c>
      <c r="C110" s="39" t="s">
        <v>12</v>
      </c>
      <c r="D110" s="39" t="s">
        <v>12</v>
      </c>
      <c r="E110" s="39" t="s">
        <v>12</v>
      </c>
      <c r="F110" s="28">
        <f t="shared" si="114"/>
        <v>16869.099999999999</v>
      </c>
      <c r="G110" s="28">
        <f>SUM(G112:G115)</f>
        <v>16869.099999999999</v>
      </c>
      <c r="H110" s="28">
        <f>SUM(H112:H115)</f>
        <v>0</v>
      </c>
      <c r="I110" s="28">
        <f>SUM(I112:I115)</f>
        <v>0</v>
      </c>
      <c r="J110" s="28">
        <f t="shared" si="133"/>
        <v>16869.099999999999</v>
      </c>
      <c r="K110" s="28">
        <f>SUM(K112:K115)</f>
        <v>16869.099999999999</v>
      </c>
      <c r="L110" s="28">
        <f>SUM(L112:L115)</f>
        <v>0</v>
      </c>
      <c r="M110" s="28">
        <f>SUM(M112:M115)</f>
        <v>0</v>
      </c>
      <c r="N110" s="27">
        <f t="shared" si="134"/>
        <v>15245</v>
      </c>
      <c r="O110" s="28">
        <f>SUM(O112:O115)</f>
        <v>15245</v>
      </c>
      <c r="P110" s="28">
        <f>SUM(P112:P115)</f>
        <v>0</v>
      </c>
      <c r="Q110" s="28">
        <f>SUM(Q112:Q115)</f>
        <v>0</v>
      </c>
      <c r="R110" s="27">
        <f t="shared" si="135"/>
        <v>15245</v>
      </c>
      <c r="S110" s="28">
        <f>SUM(S112:S115)</f>
        <v>15245</v>
      </c>
      <c r="T110" s="28">
        <f>SUM(T112:T115)</f>
        <v>0</v>
      </c>
      <c r="U110" s="28">
        <f>SUM(U112:U115)</f>
        <v>0</v>
      </c>
      <c r="V110" s="40">
        <f t="shared" si="118"/>
        <v>1</v>
      </c>
    </row>
    <row r="111" spans="1:22" ht="18.75">
      <c r="A111" s="14"/>
      <c r="B111" s="73" t="s">
        <v>15</v>
      </c>
      <c r="C111" s="63"/>
      <c r="D111" s="74"/>
      <c r="E111" s="75"/>
      <c r="F111" s="28"/>
      <c r="G111" s="28"/>
      <c r="H111" s="28"/>
      <c r="I111" s="28"/>
      <c r="J111" s="28"/>
      <c r="K111" s="28"/>
      <c r="L111" s="28"/>
      <c r="M111" s="28"/>
      <c r="N111" s="27"/>
      <c r="O111" s="28"/>
      <c r="P111" s="28"/>
      <c r="Q111" s="28"/>
      <c r="R111" s="27"/>
      <c r="S111" s="28"/>
      <c r="T111" s="28"/>
      <c r="U111" s="28"/>
      <c r="V111" s="40"/>
    </row>
    <row r="112" spans="1:22" ht="66" customHeight="1">
      <c r="A112" s="41"/>
      <c r="B112" s="43" t="s">
        <v>80</v>
      </c>
      <c r="C112" s="36">
        <v>804</v>
      </c>
      <c r="D112" s="37" t="s">
        <v>77</v>
      </c>
      <c r="E112" s="41" t="s">
        <v>204</v>
      </c>
      <c r="F112" s="27">
        <f t="shared" si="114"/>
        <v>1600</v>
      </c>
      <c r="G112" s="33">
        <v>1600</v>
      </c>
      <c r="H112" s="33"/>
      <c r="I112" s="33"/>
      <c r="J112" s="28">
        <f t="shared" ref="J112:J116" si="136">K112+L112+M112</f>
        <v>1600</v>
      </c>
      <c r="K112" s="33">
        <f>517.6+524+279.2+279.2</f>
        <v>1600</v>
      </c>
      <c r="L112" s="33"/>
      <c r="M112" s="33"/>
      <c r="N112" s="28">
        <f t="shared" ref="N112:N116" si="137">O112+P112+Q112</f>
        <v>1600</v>
      </c>
      <c r="O112" s="33">
        <v>1600</v>
      </c>
      <c r="P112" s="33"/>
      <c r="Q112" s="33"/>
      <c r="R112" s="28">
        <f t="shared" ref="R112:R116" si="138">S112+T112+U112</f>
        <v>1600</v>
      </c>
      <c r="S112" s="33">
        <v>1600</v>
      </c>
      <c r="T112" s="33"/>
      <c r="U112" s="33"/>
      <c r="V112" s="71">
        <f t="shared" si="118"/>
        <v>1</v>
      </c>
    </row>
    <row r="113" spans="1:101" ht="130.5" customHeight="1">
      <c r="A113" s="41"/>
      <c r="B113" s="43" t="s">
        <v>81</v>
      </c>
      <c r="C113" s="36">
        <v>804</v>
      </c>
      <c r="D113" s="37" t="s">
        <v>77</v>
      </c>
      <c r="E113" s="41" t="s">
        <v>205</v>
      </c>
      <c r="F113" s="27">
        <f t="shared" si="114"/>
        <v>7819</v>
      </c>
      <c r="G113" s="33">
        <v>7819</v>
      </c>
      <c r="H113" s="33"/>
      <c r="I113" s="33"/>
      <c r="J113" s="28">
        <f t="shared" si="136"/>
        <v>7819</v>
      </c>
      <c r="K113" s="33">
        <f>5674.2+2144.8</f>
        <v>7819</v>
      </c>
      <c r="L113" s="33"/>
      <c r="M113" s="33"/>
      <c r="N113" s="28">
        <f t="shared" si="137"/>
        <v>7819</v>
      </c>
      <c r="O113" s="33">
        <v>7819</v>
      </c>
      <c r="P113" s="33"/>
      <c r="Q113" s="33"/>
      <c r="R113" s="28">
        <f t="shared" si="138"/>
        <v>7819</v>
      </c>
      <c r="S113" s="33">
        <v>7819</v>
      </c>
      <c r="T113" s="33"/>
      <c r="U113" s="33"/>
      <c r="V113" s="71">
        <f t="shared" si="118"/>
        <v>1</v>
      </c>
    </row>
    <row r="114" spans="1:101" ht="72.75" customHeight="1">
      <c r="A114" s="41"/>
      <c r="B114" s="43" t="s">
        <v>135</v>
      </c>
      <c r="C114" s="36">
        <v>804</v>
      </c>
      <c r="D114" s="37" t="s">
        <v>77</v>
      </c>
      <c r="E114" s="41" t="s">
        <v>203</v>
      </c>
      <c r="F114" s="27">
        <f t="shared" si="114"/>
        <v>4280</v>
      </c>
      <c r="G114" s="33">
        <f>1630+2650</f>
        <v>4280</v>
      </c>
      <c r="H114" s="33"/>
      <c r="I114" s="33"/>
      <c r="J114" s="28">
        <f t="shared" si="136"/>
        <v>4280</v>
      </c>
      <c r="K114" s="33">
        <v>4280</v>
      </c>
      <c r="L114" s="33"/>
      <c r="M114" s="33"/>
      <c r="N114" s="28">
        <f t="shared" si="137"/>
        <v>1930</v>
      </c>
      <c r="O114" s="33">
        <f>630+1300</f>
        <v>1930</v>
      </c>
      <c r="P114" s="33"/>
      <c r="Q114" s="33"/>
      <c r="R114" s="28">
        <f t="shared" si="138"/>
        <v>1930</v>
      </c>
      <c r="S114" s="33">
        <f>630+1300</f>
        <v>1930</v>
      </c>
      <c r="T114" s="33"/>
      <c r="U114" s="33"/>
      <c r="V114" s="71">
        <f t="shared" si="118"/>
        <v>1</v>
      </c>
    </row>
    <row r="115" spans="1:101" ht="134.25" customHeight="1">
      <c r="A115" s="41"/>
      <c r="B115" s="43" t="s">
        <v>202</v>
      </c>
      <c r="C115" s="36">
        <v>804</v>
      </c>
      <c r="D115" s="37" t="s">
        <v>77</v>
      </c>
      <c r="E115" s="41" t="s">
        <v>201</v>
      </c>
      <c r="F115" s="27">
        <f t="shared" si="114"/>
        <v>3170.1</v>
      </c>
      <c r="G115" s="33">
        <f>3896-725.9</f>
        <v>3170.1</v>
      </c>
      <c r="H115" s="33"/>
      <c r="I115" s="33"/>
      <c r="J115" s="28">
        <f t="shared" si="136"/>
        <v>3170.1</v>
      </c>
      <c r="K115" s="33">
        <f>2831+339.1</f>
        <v>3170.1</v>
      </c>
      <c r="L115" s="33"/>
      <c r="M115" s="33"/>
      <c r="N115" s="28">
        <f t="shared" si="137"/>
        <v>3896</v>
      </c>
      <c r="O115" s="33">
        <v>3896</v>
      </c>
      <c r="P115" s="33"/>
      <c r="Q115" s="33"/>
      <c r="R115" s="28">
        <f t="shared" si="138"/>
        <v>3896</v>
      </c>
      <c r="S115" s="33">
        <v>3896</v>
      </c>
      <c r="T115" s="33"/>
      <c r="U115" s="33"/>
      <c r="V115" s="71">
        <f t="shared" si="118"/>
        <v>1</v>
      </c>
    </row>
    <row r="116" spans="1:101" ht="33">
      <c r="A116" s="24" t="s">
        <v>82</v>
      </c>
      <c r="B116" s="54" t="s">
        <v>83</v>
      </c>
      <c r="C116" s="26" t="s">
        <v>12</v>
      </c>
      <c r="D116" s="26" t="s">
        <v>12</v>
      </c>
      <c r="E116" s="39" t="s">
        <v>12</v>
      </c>
      <c r="F116" s="27">
        <f t="shared" si="114"/>
        <v>20273.400000000001</v>
      </c>
      <c r="G116" s="28">
        <f>SUM(G118:G119)</f>
        <v>608.20000000000005</v>
      </c>
      <c r="H116" s="28">
        <f>SUM(H118:H119)</f>
        <v>19665.2</v>
      </c>
      <c r="I116" s="28">
        <f>SUM(I118:I119)</f>
        <v>0</v>
      </c>
      <c r="J116" s="27">
        <f t="shared" si="136"/>
        <v>20273.3</v>
      </c>
      <c r="K116" s="28">
        <f>SUM(K118:K119)</f>
        <v>608.20000000000005</v>
      </c>
      <c r="L116" s="28">
        <f>SUM(L118:L119)</f>
        <v>19665.099999999999</v>
      </c>
      <c r="M116" s="28">
        <f>SUM(M118:M119)</f>
        <v>0</v>
      </c>
      <c r="N116" s="27">
        <f t="shared" si="137"/>
        <v>35536.400000000001</v>
      </c>
      <c r="O116" s="28">
        <f>SUM(O118:O119)</f>
        <v>1066.0999999999999</v>
      </c>
      <c r="P116" s="28">
        <f>SUM(P118:P119)</f>
        <v>34470.300000000003</v>
      </c>
      <c r="Q116" s="28">
        <f>SUM(Q118:Q119)</f>
        <v>0</v>
      </c>
      <c r="R116" s="27">
        <f t="shared" si="138"/>
        <v>73380.800000000003</v>
      </c>
      <c r="S116" s="28">
        <f>SUM(S118:S119)</f>
        <v>206</v>
      </c>
      <c r="T116" s="28">
        <f>SUM(T118:T119)</f>
        <v>73174.8</v>
      </c>
      <c r="U116" s="28">
        <f>SUM(U118:U119)</f>
        <v>0</v>
      </c>
      <c r="V116" s="29">
        <f t="shared" si="118"/>
        <v>1</v>
      </c>
    </row>
    <row r="117" spans="1:101" ht="18.75">
      <c r="A117" s="14"/>
      <c r="B117" s="73" t="s">
        <v>15</v>
      </c>
      <c r="C117" s="63"/>
      <c r="D117" s="74"/>
      <c r="E117" s="76"/>
      <c r="F117" s="28"/>
      <c r="G117" s="28"/>
      <c r="H117" s="28"/>
      <c r="I117" s="28"/>
      <c r="J117" s="28"/>
      <c r="K117" s="28"/>
      <c r="L117" s="28"/>
      <c r="M117" s="28"/>
      <c r="N117" s="27"/>
      <c r="O117" s="28"/>
      <c r="P117" s="28"/>
      <c r="Q117" s="28"/>
      <c r="R117" s="27"/>
      <c r="S117" s="28"/>
      <c r="T117" s="28"/>
      <c r="U117" s="28"/>
      <c r="V117" s="40"/>
    </row>
    <row r="118" spans="1:101" ht="135.75" customHeight="1">
      <c r="A118" s="14"/>
      <c r="B118" s="77" t="s">
        <v>314</v>
      </c>
      <c r="C118" s="36">
        <v>815</v>
      </c>
      <c r="D118" s="37" t="s">
        <v>50</v>
      </c>
      <c r="E118" s="14" t="s">
        <v>315</v>
      </c>
      <c r="F118" s="28">
        <f t="shared" si="114"/>
        <v>0</v>
      </c>
      <c r="G118" s="33"/>
      <c r="H118" s="33"/>
      <c r="I118" s="33"/>
      <c r="J118" s="28">
        <f t="shared" ref="J118:J121" si="139">K118+L118+M118</f>
        <v>0</v>
      </c>
      <c r="K118" s="33"/>
      <c r="L118" s="33"/>
      <c r="M118" s="33"/>
      <c r="N118" s="27">
        <f t="shared" ref="N118:N121" si="140">O118+P118+Q118</f>
        <v>0</v>
      </c>
      <c r="O118" s="33"/>
      <c r="P118" s="33"/>
      <c r="Q118" s="33"/>
      <c r="R118" s="27">
        <f t="shared" ref="R118:R121" si="141">S118+T118+U118</f>
        <v>66512.600000000006</v>
      </c>
      <c r="S118" s="33"/>
      <c r="T118" s="33">
        <v>66512.600000000006</v>
      </c>
      <c r="U118" s="33"/>
      <c r="V118" s="71"/>
    </row>
    <row r="119" spans="1:101" ht="159" customHeight="1">
      <c r="A119" s="14"/>
      <c r="B119" s="77" t="s">
        <v>305</v>
      </c>
      <c r="C119" s="36">
        <v>825</v>
      </c>
      <c r="D119" s="37" t="s">
        <v>317</v>
      </c>
      <c r="E119" s="14" t="s">
        <v>304</v>
      </c>
      <c r="F119" s="27">
        <f t="shared" si="114"/>
        <v>20273.400000000001</v>
      </c>
      <c r="G119" s="33">
        <f>628.8-20.6</f>
        <v>608.20000000000005</v>
      </c>
      <c r="H119" s="33">
        <f>20331.5-666.3</f>
        <v>19665.2</v>
      </c>
      <c r="I119" s="33"/>
      <c r="J119" s="28">
        <f t="shared" si="139"/>
        <v>20273.3</v>
      </c>
      <c r="K119" s="33">
        <f>369.3+238.9</f>
        <v>608.20000000000005</v>
      </c>
      <c r="L119" s="33">
        <f>11940.8+7724.3</f>
        <v>19665.099999999999</v>
      </c>
      <c r="M119" s="33"/>
      <c r="N119" s="27">
        <f t="shared" si="140"/>
        <v>35536.400000000001</v>
      </c>
      <c r="O119" s="33">
        <v>1066.0999999999999</v>
      </c>
      <c r="P119" s="33">
        <v>34470.300000000003</v>
      </c>
      <c r="Q119" s="33"/>
      <c r="R119" s="27">
        <f t="shared" si="141"/>
        <v>6868.2</v>
      </c>
      <c r="S119" s="33">
        <v>206</v>
      </c>
      <c r="T119" s="33">
        <v>6662.2</v>
      </c>
      <c r="U119" s="33"/>
      <c r="V119" s="71">
        <f t="shared" si="118"/>
        <v>1</v>
      </c>
    </row>
    <row r="120" spans="1:101" s="78" customFormat="1" ht="33">
      <c r="A120" s="19" t="s">
        <v>84</v>
      </c>
      <c r="B120" s="68" t="s">
        <v>85</v>
      </c>
      <c r="C120" s="21" t="s">
        <v>12</v>
      </c>
      <c r="D120" s="21" t="s">
        <v>12</v>
      </c>
      <c r="E120" s="21" t="s">
        <v>12</v>
      </c>
      <c r="F120" s="50">
        <f t="shared" si="114"/>
        <v>2554160.7999999998</v>
      </c>
      <c r="G120" s="50">
        <f>G121+G124+G129+G132</f>
        <v>310320.90000000002</v>
      </c>
      <c r="H120" s="50">
        <f>H121+H124+H129+H132</f>
        <v>1996209.6</v>
      </c>
      <c r="I120" s="50">
        <f>I121+I124+I129+I132</f>
        <v>247630.3</v>
      </c>
      <c r="J120" s="50">
        <f t="shared" si="139"/>
        <v>1683557.4</v>
      </c>
      <c r="K120" s="50">
        <f>K121+K124+K129+K132</f>
        <v>212441</v>
      </c>
      <c r="L120" s="50">
        <f>L121+L124+L129+L132</f>
        <v>1229925.7</v>
      </c>
      <c r="M120" s="50">
        <f>M121+M124+M129+M132</f>
        <v>241190.7</v>
      </c>
      <c r="N120" s="50">
        <f t="shared" si="140"/>
        <v>1344754.4</v>
      </c>
      <c r="O120" s="50">
        <f>O121+O124+O129+O132</f>
        <v>122928.6</v>
      </c>
      <c r="P120" s="50">
        <f>P121+P124+P129+P132</f>
        <v>1148010.2</v>
      </c>
      <c r="Q120" s="50">
        <f>Q121+Q124+Q129+Q132</f>
        <v>73815.600000000006</v>
      </c>
      <c r="R120" s="50">
        <f t="shared" si="141"/>
        <v>2072825.9</v>
      </c>
      <c r="S120" s="50">
        <f>S121+S124+S129+S132</f>
        <v>71591.3</v>
      </c>
      <c r="T120" s="50">
        <f>T121+T124+T129+T132</f>
        <v>1942951.8</v>
      </c>
      <c r="U120" s="50">
        <f>U121+U124+U129+U132</f>
        <v>58282.8</v>
      </c>
      <c r="V120" s="51">
        <f t="shared" si="118"/>
        <v>0.65900000000000003</v>
      </c>
      <c r="W120" s="3"/>
      <c r="X120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  <c r="BC120" s="3"/>
      <c r="BD120" s="3"/>
      <c r="BE120" s="3"/>
      <c r="BF120" s="3"/>
      <c r="BG120" s="3"/>
      <c r="BH120" s="3"/>
      <c r="BI120" s="3"/>
      <c r="BJ120" s="3"/>
      <c r="BK120" s="3"/>
      <c r="BL120" s="3"/>
      <c r="BM120" s="3"/>
      <c r="BN120" s="3"/>
      <c r="BO120" s="3"/>
      <c r="BP120" s="3"/>
      <c r="BQ120" s="3"/>
      <c r="BR120" s="3"/>
      <c r="BS120" s="3"/>
      <c r="BT120" s="3"/>
      <c r="BU120" s="3"/>
      <c r="BV120" s="3"/>
      <c r="BW120" s="3"/>
      <c r="BX120" s="3"/>
      <c r="BY120" s="3"/>
      <c r="BZ120" s="3"/>
      <c r="CA120" s="3"/>
      <c r="CB120" s="3"/>
      <c r="CC120" s="3"/>
      <c r="CD120" s="3"/>
      <c r="CE120" s="3"/>
      <c r="CF120" s="3"/>
      <c r="CG120" s="3"/>
      <c r="CH120" s="3"/>
      <c r="CI120" s="3"/>
      <c r="CJ120" s="3"/>
      <c r="CK120" s="3"/>
      <c r="CL120" s="3"/>
      <c r="CM120" s="3"/>
      <c r="CN120" s="3"/>
      <c r="CO120" s="3"/>
      <c r="CP120" s="3"/>
      <c r="CQ120" s="3"/>
      <c r="CR120" s="3"/>
      <c r="CS120" s="3"/>
      <c r="CT120" s="3"/>
      <c r="CU120" s="3"/>
      <c r="CV120" s="3"/>
      <c r="CW120" s="3"/>
    </row>
    <row r="121" spans="1:101" ht="33">
      <c r="A121" s="11" t="s">
        <v>86</v>
      </c>
      <c r="B121" s="25" t="s">
        <v>87</v>
      </c>
      <c r="C121" s="39" t="s">
        <v>12</v>
      </c>
      <c r="D121" s="39" t="s">
        <v>12</v>
      </c>
      <c r="E121" s="39" t="s">
        <v>12</v>
      </c>
      <c r="F121" s="28">
        <f t="shared" si="114"/>
        <v>389093.3</v>
      </c>
      <c r="G121" s="28">
        <f>SUM(G123:G123)</f>
        <v>11038.4</v>
      </c>
      <c r="H121" s="28">
        <f>SUM(H123:H123)</f>
        <v>356906.9</v>
      </c>
      <c r="I121" s="28">
        <f>SUM(I123:I123)</f>
        <v>21148</v>
      </c>
      <c r="J121" s="28">
        <f t="shared" si="139"/>
        <v>388471.9</v>
      </c>
      <c r="K121" s="28">
        <f>SUM(K123:K123)</f>
        <v>11038.3</v>
      </c>
      <c r="L121" s="28">
        <f>SUM(L123:L123)</f>
        <v>356906.9</v>
      </c>
      <c r="M121" s="28">
        <f>SUM(M123:M123)</f>
        <v>20526.7</v>
      </c>
      <c r="N121" s="27">
        <f t="shared" si="140"/>
        <v>399056</v>
      </c>
      <c r="O121" s="28">
        <f>SUM(O123:O123)</f>
        <v>11229.3</v>
      </c>
      <c r="P121" s="28">
        <f>SUM(P123:P123)</f>
        <v>363080.5</v>
      </c>
      <c r="Q121" s="28">
        <f>SUM(Q123:Q123)</f>
        <v>24746.2</v>
      </c>
      <c r="R121" s="27">
        <f t="shared" si="141"/>
        <v>383406</v>
      </c>
      <c r="S121" s="28">
        <f>SUM(S123:S123)</f>
        <v>11229.3</v>
      </c>
      <c r="T121" s="28">
        <f>SUM(T123:T123)</f>
        <v>363080.5</v>
      </c>
      <c r="U121" s="28">
        <f>SUM(U123:U123)</f>
        <v>9096.2000000000007</v>
      </c>
      <c r="V121" s="40">
        <f t="shared" si="118"/>
        <v>0.998</v>
      </c>
      <c r="X121"/>
      <c r="Y121" s="18"/>
    </row>
    <row r="122" spans="1:101" ht="18.75">
      <c r="A122" s="14"/>
      <c r="B122" s="31" t="s">
        <v>15</v>
      </c>
      <c r="C122" s="63"/>
      <c r="D122" s="63"/>
      <c r="E122" s="63"/>
      <c r="F122" s="28"/>
      <c r="G122" s="28"/>
      <c r="H122" s="28"/>
      <c r="I122" s="28"/>
      <c r="J122" s="28"/>
      <c r="K122" s="28"/>
      <c r="L122" s="28"/>
      <c r="M122" s="28"/>
      <c r="N122" s="27"/>
      <c r="O122" s="28"/>
      <c r="P122" s="28"/>
      <c r="Q122" s="28"/>
      <c r="R122" s="27"/>
      <c r="S122" s="28"/>
      <c r="T122" s="28"/>
      <c r="U122" s="28"/>
      <c r="V122" s="40"/>
      <c r="X122"/>
    </row>
    <row r="123" spans="1:101" ht="36.75" customHeight="1">
      <c r="A123" s="14"/>
      <c r="B123" s="35" t="s">
        <v>88</v>
      </c>
      <c r="C123" s="64">
        <v>821</v>
      </c>
      <c r="D123" s="65" t="s">
        <v>19</v>
      </c>
      <c r="E123" s="36" t="s">
        <v>191</v>
      </c>
      <c r="F123" s="28">
        <f t="shared" si="114"/>
        <v>389093.3</v>
      </c>
      <c r="G123" s="33">
        <f>11392.2-353.8</f>
        <v>11038.4</v>
      </c>
      <c r="H123" s="33">
        <f>368346.9-11440</f>
        <v>356906.9</v>
      </c>
      <c r="I123" s="33">
        <v>21148</v>
      </c>
      <c r="J123" s="28">
        <f t="shared" ref="J123:J124" si="142">K123+L123+M123</f>
        <v>388471.9</v>
      </c>
      <c r="K123" s="33">
        <f>11038.1+0.2</f>
        <v>11038.3</v>
      </c>
      <c r="L123" s="33">
        <f>356899+7.9</f>
        <v>356906.9</v>
      </c>
      <c r="M123" s="33">
        <v>20526.7</v>
      </c>
      <c r="N123" s="27">
        <f t="shared" ref="N123:N124" si="143">O123+P123+Q123</f>
        <v>399056</v>
      </c>
      <c r="O123" s="33">
        <v>11229.3</v>
      </c>
      <c r="P123" s="33">
        <v>363080.5</v>
      </c>
      <c r="Q123" s="33">
        <v>24746.2</v>
      </c>
      <c r="R123" s="27">
        <f t="shared" ref="R123:R124" si="144">S123+T123+U123</f>
        <v>383406</v>
      </c>
      <c r="S123" s="33">
        <v>11229.3</v>
      </c>
      <c r="T123" s="33">
        <v>363080.5</v>
      </c>
      <c r="U123" s="33">
        <v>9096.2000000000007</v>
      </c>
      <c r="V123" s="71">
        <f t="shared" si="118"/>
        <v>0.998</v>
      </c>
      <c r="X123"/>
    </row>
    <row r="124" spans="1:101" ht="49.5">
      <c r="A124" s="11" t="s">
        <v>89</v>
      </c>
      <c r="B124" s="25" t="s">
        <v>297</v>
      </c>
      <c r="C124" s="39" t="s">
        <v>12</v>
      </c>
      <c r="D124" s="39" t="s">
        <v>12</v>
      </c>
      <c r="E124" s="39" t="s">
        <v>12</v>
      </c>
      <c r="F124" s="28">
        <f>G124+H124+I124</f>
        <v>1790070.8</v>
      </c>
      <c r="G124" s="28">
        <f>SUM(G126:G128)</f>
        <v>237393</v>
      </c>
      <c r="H124" s="28">
        <f>SUM(H126:H128)</f>
        <v>1334645.7</v>
      </c>
      <c r="I124" s="128">
        <v>218032.1</v>
      </c>
      <c r="J124" s="28">
        <f t="shared" si="142"/>
        <v>960416.8</v>
      </c>
      <c r="K124" s="28">
        <f>SUM(K126:K128)</f>
        <v>146316.9</v>
      </c>
      <c r="L124" s="28">
        <f>SUM(L126:L128)</f>
        <v>598439.69999999995</v>
      </c>
      <c r="M124" s="28">
        <v>215660.2</v>
      </c>
      <c r="N124" s="27">
        <f t="shared" si="143"/>
        <v>692404.7</v>
      </c>
      <c r="O124" s="28">
        <f>SUM(O126:O128)</f>
        <v>92945.5</v>
      </c>
      <c r="P124" s="28">
        <f>SUM(P126:P128)</f>
        <v>550389.80000000005</v>
      </c>
      <c r="Q124" s="28">
        <v>49069.4</v>
      </c>
      <c r="R124" s="27">
        <f t="shared" si="144"/>
        <v>1468253.1</v>
      </c>
      <c r="S124" s="28">
        <f>SUM(S126:S128)</f>
        <v>42575.5</v>
      </c>
      <c r="T124" s="28">
        <f>SUM(T126:T128)</f>
        <v>1376608.2</v>
      </c>
      <c r="U124" s="28">
        <v>49069.4</v>
      </c>
      <c r="V124" s="40">
        <f t="shared" si="118"/>
        <v>0.53700000000000003</v>
      </c>
      <c r="X124"/>
    </row>
    <row r="125" spans="1:101" ht="18.75">
      <c r="A125" s="11"/>
      <c r="B125" s="73" t="s">
        <v>15</v>
      </c>
      <c r="C125" s="66"/>
      <c r="D125" s="66"/>
      <c r="E125" s="66"/>
      <c r="F125" s="28"/>
      <c r="G125" s="28"/>
      <c r="H125" s="28"/>
      <c r="I125" s="28"/>
      <c r="J125" s="28"/>
      <c r="K125" s="28"/>
      <c r="L125" s="28"/>
      <c r="M125" s="28"/>
      <c r="N125" s="27"/>
      <c r="O125" s="28"/>
      <c r="P125" s="28"/>
      <c r="Q125" s="28"/>
      <c r="R125" s="27"/>
      <c r="S125" s="28"/>
      <c r="T125" s="28"/>
      <c r="U125" s="28"/>
      <c r="V125" s="40"/>
    </row>
    <row r="126" spans="1:101" ht="66">
      <c r="A126" s="11"/>
      <c r="B126" s="35" t="s">
        <v>133</v>
      </c>
      <c r="C126" s="64">
        <v>821</v>
      </c>
      <c r="D126" s="65" t="s">
        <v>19</v>
      </c>
      <c r="E126" s="36" t="s">
        <v>192</v>
      </c>
      <c r="F126" s="28">
        <f t="shared" si="114"/>
        <v>1354329.5</v>
      </c>
      <c r="G126" s="33"/>
      <c r="H126" s="33">
        <f>503521.8+693526.4+137597.5</f>
        <v>1334645.7</v>
      </c>
      <c r="I126" s="33">
        <v>19683.8</v>
      </c>
      <c r="J126" s="28">
        <f t="shared" ref="J126:J129" si="145">K126+L126+M126</f>
        <v>618123.5</v>
      </c>
      <c r="K126" s="33"/>
      <c r="L126" s="33">
        <f>56410.1+83666.1+44047.3+180574.7+42802.5+40972.2+23083.9+126882.9</f>
        <v>598439.69999999995</v>
      </c>
      <c r="M126" s="33">
        <v>19683.8</v>
      </c>
      <c r="N126" s="27">
        <f t="shared" ref="N126:N129" si="146">O126+P126+Q126</f>
        <v>550389.80000000005</v>
      </c>
      <c r="O126" s="33"/>
      <c r="P126" s="33">
        <f>687987.3-137597.5</f>
        <v>550389.80000000005</v>
      </c>
      <c r="Q126" s="33"/>
      <c r="R126" s="27">
        <f t="shared" ref="R126:R129" si="147">S126+T126+U126</f>
        <v>1376608.2</v>
      </c>
      <c r="S126" s="33"/>
      <c r="T126" s="33">
        <v>1376608.2</v>
      </c>
      <c r="U126" s="33"/>
      <c r="V126" s="71">
        <f t="shared" si="118"/>
        <v>0.45600000000000002</v>
      </c>
    </row>
    <row r="127" spans="1:101" ht="47.25" customHeight="1">
      <c r="A127" s="11"/>
      <c r="B127" s="35" t="s">
        <v>332</v>
      </c>
      <c r="C127" s="64">
        <v>821</v>
      </c>
      <c r="D127" s="65" t="s">
        <v>19</v>
      </c>
      <c r="E127" s="36" t="s">
        <v>331</v>
      </c>
      <c r="F127" s="28">
        <f t="shared" ref="F127" si="148">G127+H127+I127</f>
        <v>3545.5</v>
      </c>
      <c r="G127" s="33">
        <v>3545.5</v>
      </c>
      <c r="H127" s="33"/>
      <c r="I127" s="33"/>
      <c r="J127" s="28">
        <f t="shared" ref="J127" si="149">K127+L127+M127</f>
        <v>3545.5</v>
      </c>
      <c r="K127" s="33">
        <v>3545.5</v>
      </c>
      <c r="L127" s="33"/>
      <c r="M127" s="33"/>
      <c r="N127" s="27">
        <f t="shared" ref="N127" si="150">O127+P127+Q127</f>
        <v>0</v>
      </c>
      <c r="O127" s="33"/>
      <c r="P127" s="33"/>
      <c r="Q127" s="33"/>
      <c r="R127" s="27">
        <f t="shared" ref="R127" si="151">S127+T127+U127</f>
        <v>0</v>
      </c>
      <c r="S127" s="33"/>
      <c r="T127" s="33"/>
      <c r="U127" s="33"/>
      <c r="V127" s="71">
        <f t="shared" ref="V127" si="152">J127/F127</f>
        <v>1</v>
      </c>
    </row>
    <row r="128" spans="1:101" ht="44.25" customHeight="1">
      <c r="A128" s="14"/>
      <c r="B128" s="35" t="s">
        <v>134</v>
      </c>
      <c r="C128" s="64">
        <v>821</v>
      </c>
      <c r="D128" s="65" t="s">
        <v>19</v>
      </c>
      <c r="E128" s="64" t="s">
        <v>232</v>
      </c>
      <c r="F128" s="28">
        <f t="shared" si="114"/>
        <v>236029.1</v>
      </c>
      <c r="G128" s="33">
        <f>236948.8-5853.6+2752.3</f>
        <v>233847.5</v>
      </c>
      <c r="H128" s="33"/>
      <c r="I128" s="33">
        <v>2181.6</v>
      </c>
      <c r="J128" s="28">
        <f t="shared" si="145"/>
        <v>144953</v>
      </c>
      <c r="K128" s="33">
        <f>85801.2+56970.2</f>
        <v>142771.4</v>
      </c>
      <c r="L128" s="33"/>
      <c r="M128" s="33">
        <v>2181.6</v>
      </c>
      <c r="N128" s="27">
        <f t="shared" si="146"/>
        <v>92945.5</v>
      </c>
      <c r="O128" s="33">
        <v>92945.5</v>
      </c>
      <c r="P128" s="33"/>
      <c r="Q128" s="33"/>
      <c r="R128" s="27">
        <f t="shared" si="147"/>
        <v>42575.5</v>
      </c>
      <c r="S128" s="33">
        <v>42575.5</v>
      </c>
      <c r="T128" s="33"/>
      <c r="U128" s="33"/>
      <c r="V128" s="71">
        <f t="shared" si="118"/>
        <v>0.61399999999999999</v>
      </c>
    </row>
    <row r="129" spans="1:101" ht="27.75" customHeight="1">
      <c r="A129" s="11" t="s">
        <v>295</v>
      </c>
      <c r="B129" s="25" t="s">
        <v>296</v>
      </c>
      <c r="C129" s="66" t="s">
        <v>12</v>
      </c>
      <c r="D129" s="66" t="s">
        <v>12</v>
      </c>
      <c r="E129" s="66" t="s">
        <v>12</v>
      </c>
      <c r="F129" s="28">
        <f t="shared" si="114"/>
        <v>147507.6</v>
      </c>
      <c r="G129" s="28">
        <f t="shared" ref="G129:T129" si="153">G131</f>
        <v>33786.300000000003</v>
      </c>
      <c r="H129" s="28">
        <f t="shared" si="153"/>
        <v>111921.3</v>
      </c>
      <c r="I129" s="28">
        <f t="shared" ref="I129" si="154">I131</f>
        <v>1800</v>
      </c>
      <c r="J129" s="28">
        <f t="shared" si="145"/>
        <v>142896.1</v>
      </c>
      <c r="K129" s="28">
        <f t="shared" ref="K129:M129" si="155">K131</f>
        <v>29552.5</v>
      </c>
      <c r="L129" s="28">
        <f t="shared" si="155"/>
        <v>111914.6</v>
      </c>
      <c r="M129" s="28">
        <f t="shared" si="155"/>
        <v>1429</v>
      </c>
      <c r="N129" s="27">
        <f t="shared" si="146"/>
        <v>0</v>
      </c>
      <c r="O129" s="28">
        <f t="shared" si="153"/>
        <v>0</v>
      </c>
      <c r="P129" s="28">
        <f t="shared" si="153"/>
        <v>0</v>
      </c>
      <c r="Q129" s="28">
        <f t="shared" si="153"/>
        <v>0</v>
      </c>
      <c r="R129" s="27">
        <f t="shared" si="147"/>
        <v>0</v>
      </c>
      <c r="S129" s="28">
        <f t="shared" si="153"/>
        <v>0</v>
      </c>
      <c r="T129" s="28">
        <f t="shared" si="153"/>
        <v>0</v>
      </c>
      <c r="U129" s="28">
        <f t="shared" ref="U129" si="156">U131</f>
        <v>0</v>
      </c>
      <c r="V129" s="29">
        <f t="shared" si="118"/>
        <v>0.96899999999999997</v>
      </c>
    </row>
    <row r="130" spans="1:101" ht="18.75">
      <c r="A130" s="14"/>
      <c r="B130" s="73" t="s">
        <v>15</v>
      </c>
      <c r="C130" s="63"/>
      <c r="D130" s="74"/>
      <c r="E130" s="63"/>
      <c r="F130" s="28"/>
      <c r="G130" s="33"/>
      <c r="H130" s="33"/>
      <c r="I130" s="33"/>
      <c r="J130" s="28"/>
      <c r="K130" s="33"/>
      <c r="L130" s="33"/>
      <c r="M130" s="33"/>
      <c r="N130" s="27"/>
      <c r="O130" s="33"/>
      <c r="P130" s="33"/>
      <c r="Q130" s="33"/>
      <c r="R130" s="27"/>
      <c r="S130" s="33"/>
      <c r="T130" s="33"/>
      <c r="U130" s="33"/>
      <c r="V130" s="71"/>
    </row>
    <row r="131" spans="1:101" ht="44.25" customHeight="1">
      <c r="A131" s="14"/>
      <c r="B131" s="35" t="s">
        <v>298</v>
      </c>
      <c r="C131" s="64">
        <v>821</v>
      </c>
      <c r="D131" s="65" t="s">
        <v>19</v>
      </c>
      <c r="E131" s="64" t="s">
        <v>299</v>
      </c>
      <c r="F131" s="28">
        <f t="shared" si="114"/>
        <v>147507.6</v>
      </c>
      <c r="G131" s="33">
        <v>33786.300000000003</v>
      </c>
      <c r="H131" s="33">
        <f>127984.2-16062.9</f>
        <v>111921.3</v>
      </c>
      <c r="I131" s="33">
        <v>1800</v>
      </c>
      <c r="J131" s="28">
        <f t="shared" ref="J131:J132" si="157">K131+L131+M131</f>
        <v>142896.1</v>
      </c>
      <c r="K131" s="33">
        <f>29404.2+148.3</f>
        <v>29552.5</v>
      </c>
      <c r="L131" s="33">
        <f>111384.4+530.2</f>
        <v>111914.6</v>
      </c>
      <c r="M131" s="33">
        <v>1429</v>
      </c>
      <c r="N131" s="27">
        <f t="shared" ref="N131:N132" si="158">O131+P131+Q131</f>
        <v>0</v>
      </c>
      <c r="O131" s="33"/>
      <c r="P131" s="33"/>
      <c r="Q131" s="33"/>
      <c r="R131" s="27">
        <f t="shared" ref="R131:R132" si="159">S131+T131+U131</f>
        <v>0</v>
      </c>
      <c r="S131" s="33"/>
      <c r="T131" s="33"/>
      <c r="U131" s="33"/>
      <c r="V131" s="71">
        <f t="shared" si="118"/>
        <v>0.96899999999999997</v>
      </c>
    </row>
    <row r="132" spans="1:101" ht="18.75">
      <c r="A132" s="11" t="s">
        <v>301</v>
      </c>
      <c r="B132" s="25" t="s">
        <v>99</v>
      </c>
      <c r="C132" s="66" t="s">
        <v>12</v>
      </c>
      <c r="D132" s="66" t="s">
        <v>12</v>
      </c>
      <c r="E132" s="66" t="s">
        <v>12</v>
      </c>
      <c r="F132" s="28">
        <f>G132+H132+I132</f>
        <v>227489.1</v>
      </c>
      <c r="G132" s="28">
        <f>G134+G136+G135</f>
        <v>28103.200000000001</v>
      </c>
      <c r="H132" s="28">
        <f t="shared" ref="H132:I132" si="160">H134+H136+H135</f>
        <v>192735.7</v>
      </c>
      <c r="I132" s="28">
        <f t="shared" si="160"/>
        <v>6650.2</v>
      </c>
      <c r="J132" s="28">
        <f t="shared" si="157"/>
        <v>191772.6</v>
      </c>
      <c r="K132" s="28">
        <f>K134+K136+K135</f>
        <v>25533.3</v>
      </c>
      <c r="L132" s="28">
        <f t="shared" ref="L132:M132" si="161">L134+L136+L135</f>
        <v>162664.5</v>
      </c>
      <c r="M132" s="28">
        <f t="shared" si="161"/>
        <v>3574.8</v>
      </c>
      <c r="N132" s="27">
        <f t="shared" si="158"/>
        <v>253293.7</v>
      </c>
      <c r="O132" s="28">
        <f>O134+O136+O135</f>
        <v>18753.8</v>
      </c>
      <c r="P132" s="28">
        <f t="shared" ref="P132:Q132" si="162">P134+P136+P135</f>
        <v>234539.9</v>
      </c>
      <c r="Q132" s="28">
        <f t="shared" si="162"/>
        <v>0</v>
      </c>
      <c r="R132" s="27">
        <f t="shared" si="159"/>
        <v>221166.8</v>
      </c>
      <c r="S132" s="28">
        <f>S134+S136+S135</f>
        <v>17786.5</v>
      </c>
      <c r="T132" s="28">
        <f t="shared" ref="T132:U132" si="163">T134+T136+T135</f>
        <v>203263.1</v>
      </c>
      <c r="U132" s="28">
        <f t="shared" si="163"/>
        <v>117.2</v>
      </c>
      <c r="V132" s="29">
        <f t="shared" si="118"/>
        <v>0.84299999999999997</v>
      </c>
    </row>
    <row r="133" spans="1:101" ht="18.75">
      <c r="A133" s="14"/>
      <c r="B133" s="73" t="s">
        <v>15</v>
      </c>
      <c r="C133" s="32"/>
      <c r="D133" s="44"/>
      <c r="E133" s="63"/>
      <c r="F133" s="27"/>
      <c r="G133" s="33"/>
      <c r="H133" s="33"/>
      <c r="I133" s="33"/>
      <c r="J133" s="27"/>
      <c r="K133" s="33"/>
      <c r="L133" s="33"/>
      <c r="M133" s="33"/>
      <c r="N133" s="27"/>
      <c r="O133" s="33"/>
      <c r="P133" s="33"/>
      <c r="Q133" s="33"/>
      <c r="R133" s="27"/>
      <c r="S133" s="33"/>
      <c r="T133" s="33"/>
      <c r="U133" s="33"/>
      <c r="V133" s="71"/>
    </row>
    <row r="134" spans="1:101" ht="73.5" customHeight="1">
      <c r="A134" s="14"/>
      <c r="B134" s="35" t="s">
        <v>234</v>
      </c>
      <c r="C134" s="64">
        <v>828</v>
      </c>
      <c r="D134" s="65" t="s">
        <v>101</v>
      </c>
      <c r="E134" s="64" t="s">
        <v>303</v>
      </c>
      <c r="F134" s="27">
        <f t="shared" si="114"/>
        <v>11500</v>
      </c>
      <c r="G134" s="33">
        <v>11500</v>
      </c>
      <c r="H134" s="33"/>
      <c r="I134" s="33"/>
      <c r="J134" s="27">
        <f t="shared" ref="J134:J138" si="164">K134+L134+M134</f>
        <v>11500</v>
      </c>
      <c r="K134" s="33">
        <v>11500</v>
      </c>
      <c r="L134" s="33"/>
      <c r="M134" s="33"/>
      <c r="N134" s="27">
        <f t="shared" ref="N134:N138" si="165">O134+P134+Q134</f>
        <v>11500</v>
      </c>
      <c r="O134" s="33">
        <v>11500</v>
      </c>
      <c r="P134" s="33"/>
      <c r="Q134" s="33"/>
      <c r="R134" s="27">
        <f t="shared" ref="R134:R138" si="166">S134+T134+U134</f>
        <v>11500</v>
      </c>
      <c r="S134" s="33">
        <v>11500</v>
      </c>
      <c r="T134" s="33"/>
      <c r="U134" s="33"/>
      <c r="V134" s="71">
        <f t="shared" si="118"/>
        <v>1</v>
      </c>
    </row>
    <row r="135" spans="1:101" ht="51" customHeight="1">
      <c r="A135" s="14"/>
      <c r="B135" s="35" t="s">
        <v>336</v>
      </c>
      <c r="C135" s="64">
        <v>828</v>
      </c>
      <c r="D135" s="65" t="s">
        <v>101</v>
      </c>
      <c r="E135" s="64" t="s">
        <v>335</v>
      </c>
      <c r="F135" s="27">
        <f t="shared" ref="F135" si="167">G135+H135+I135</f>
        <v>14733.9</v>
      </c>
      <c r="G135" s="33">
        <f>12000-1162.1-781.4</f>
        <v>10056.5</v>
      </c>
      <c r="H135" s="33"/>
      <c r="I135" s="33">
        <v>4677.3999999999996</v>
      </c>
      <c r="J135" s="27">
        <f t="shared" ref="J135" si="168">K135+L135+M135</f>
        <v>12636.5</v>
      </c>
      <c r="K135" s="33">
        <f>900+9156.5</f>
        <v>10056.5</v>
      </c>
      <c r="L135" s="33"/>
      <c r="M135" s="33">
        <v>2580</v>
      </c>
      <c r="N135" s="27">
        <f t="shared" ref="N135" si="169">O135+P135+Q135</f>
        <v>0</v>
      </c>
      <c r="O135" s="33"/>
      <c r="P135" s="33"/>
      <c r="Q135" s="33"/>
      <c r="R135" s="27">
        <f t="shared" ref="R135" si="170">S135+T135+U135</f>
        <v>0</v>
      </c>
      <c r="S135" s="33"/>
      <c r="T135" s="33"/>
      <c r="U135" s="33"/>
      <c r="V135" s="71">
        <f t="shared" ref="V135" si="171">J135/F135</f>
        <v>0.85799999999999998</v>
      </c>
    </row>
    <row r="136" spans="1:101" ht="53.25" customHeight="1">
      <c r="A136" s="14"/>
      <c r="B136" s="35" t="s">
        <v>100</v>
      </c>
      <c r="C136" s="64">
        <v>828</v>
      </c>
      <c r="D136" s="65" t="s">
        <v>101</v>
      </c>
      <c r="E136" s="36" t="s">
        <v>302</v>
      </c>
      <c r="F136" s="27">
        <f t="shared" si="114"/>
        <v>201255.2</v>
      </c>
      <c r="G136" s="33">
        <f>17721.6-8345.5-2042.2-787.2</f>
        <v>6546.7</v>
      </c>
      <c r="H136" s="33">
        <f>324149.7-131414</f>
        <v>192735.7</v>
      </c>
      <c r="I136" s="33">
        <v>1972.8</v>
      </c>
      <c r="J136" s="27">
        <f t="shared" si="164"/>
        <v>167636.1</v>
      </c>
      <c r="K136" s="33">
        <f>1951.3+17+7.9+840.7+1159.9</f>
        <v>3976.8</v>
      </c>
      <c r="L136" s="33">
        <f>47119.5+223.9+6587.4+26803.1+695.7+325+33708.3+47201.6</f>
        <v>162664.5</v>
      </c>
      <c r="M136" s="33">
        <v>994.8</v>
      </c>
      <c r="N136" s="27">
        <f t="shared" si="165"/>
        <v>241793.7</v>
      </c>
      <c r="O136" s="33">
        <v>7253.8</v>
      </c>
      <c r="P136" s="33">
        <v>234539.9</v>
      </c>
      <c r="Q136" s="33"/>
      <c r="R136" s="27">
        <f t="shared" si="166"/>
        <v>209666.8</v>
      </c>
      <c r="S136" s="33">
        <v>6286.5</v>
      </c>
      <c r="T136" s="33">
        <v>203263.1</v>
      </c>
      <c r="U136" s="33">
        <v>117.2</v>
      </c>
      <c r="V136" s="71">
        <f t="shared" si="118"/>
        <v>0.83299999999999996</v>
      </c>
    </row>
    <row r="137" spans="1:101" s="78" customFormat="1" ht="28.5" customHeight="1">
      <c r="A137" s="19" t="s">
        <v>90</v>
      </c>
      <c r="B137" s="20" t="s">
        <v>91</v>
      </c>
      <c r="C137" s="21" t="s">
        <v>12</v>
      </c>
      <c r="D137" s="21" t="s">
        <v>12</v>
      </c>
      <c r="E137" s="21" t="s">
        <v>12</v>
      </c>
      <c r="F137" s="50">
        <f t="shared" si="114"/>
        <v>222455.6</v>
      </c>
      <c r="G137" s="50">
        <f>G138+G144+G148</f>
        <v>17649.3</v>
      </c>
      <c r="H137" s="50">
        <f>H138+H144+H148</f>
        <v>199684.7</v>
      </c>
      <c r="I137" s="50">
        <f>I138+I144+I148</f>
        <v>5121.6000000000004</v>
      </c>
      <c r="J137" s="50">
        <f t="shared" si="164"/>
        <v>222413.2</v>
      </c>
      <c r="K137" s="50">
        <f>K138+K144+K148</f>
        <v>17649.3</v>
      </c>
      <c r="L137" s="50">
        <f>L138+L144+L148</f>
        <v>199642.3</v>
      </c>
      <c r="M137" s="50">
        <f>M138+M144+M148</f>
        <v>5121.6000000000004</v>
      </c>
      <c r="N137" s="50">
        <f t="shared" si="165"/>
        <v>118123.7</v>
      </c>
      <c r="O137" s="50">
        <f>O138+O144+O148</f>
        <v>15856.7</v>
      </c>
      <c r="P137" s="50">
        <f>P138+P144+P148</f>
        <v>98240.7</v>
      </c>
      <c r="Q137" s="50">
        <f>Q138+Q144+Q148</f>
        <v>4026.3</v>
      </c>
      <c r="R137" s="50">
        <f t="shared" si="166"/>
        <v>136445</v>
      </c>
      <c r="S137" s="50">
        <f>S138+S144+S148</f>
        <v>13972.2</v>
      </c>
      <c r="T137" s="50">
        <f>T138+T144+T148</f>
        <v>118402.8</v>
      </c>
      <c r="U137" s="50">
        <f>U138+U144+U148</f>
        <v>4070</v>
      </c>
      <c r="V137" s="51">
        <f t="shared" si="118"/>
        <v>1</v>
      </c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  <c r="BF137" s="3"/>
      <c r="BG137" s="3"/>
      <c r="BH137" s="3"/>
      <c r="BI137" s="3"/>
      <c r="BJ137" s="3"/>
      <c r="BK137" s="3"/>
      <c r="BL137" s="3"/>
      <c r="BM137" s="3"/>
      <c r="BN137" s="3"/>
      <c r="BO137" s="3"/>
      <c r="BP137" s="3"/>
      <c r="BQ137" s="3"/>
      <c r="BR137" s="3"/>
      <c r="BS137" s="3"/>
      <c r="BT137" s="3"/>
      <c r="BU137" s="3"/>
      <c r="BV137" s="3"/>
      <c r="BW137" s="3"/>
      <c r="BX137" s="3"/>
      <c r="BY137" s="3"/>
      <c r="BZ137" s="3"/>
      <c r="CA137" s="3"/>
      <c r="CB137" s="3"/>
      <c r="CC137" s="3"/>
      <c r="CD137" s="3"/>
      <c r="CE137" s="3"/>
      <c r="CF137" s="3"/>
      <c r="CG137" s="3"/>
      <c r="CH137" s="3"/>
      <c r="CI137" s="3"/>
      <c r="CJ137" s="3"/>
      <c r="CK137" s="3"/>
      <c r="CL137" s="3"/>
      <c r="CM137" s="3"/>
      <c r="CN137" s="3"/>
      <c r="CO137" s="3"/>
      <c r="CP137" s="3"/>
      <c r="CQ137" s="3"/>
      <c r="CR137" s="3"/>
      <c r="CS137" s="3"/>
      <c r="CT137" s="3"/>
      <c r="CU137" s="3"/>
      <c r="CV137" s="3"/>
      <c r="CW137" s="3"/>
    </row>
    <row r="138" spans="1:101" ht="33">
      <c r="A138" s="11" t="s">
        <v>92</v>
      </c>
      <c r="B138" s="25" t="s">
        <v>93</v>
      </c>
      <c r="C138" s="39" t="s">
        <v>12</v>
      </c>
      <c r="D138" s="39" t="s">
        <v>12</v>
      </c>
      <c r="E138" s="39" t="s">
        <v>12</v>
      </c>
      <c r="F138" s="28">
        <f t="shared" si="114"/>
        <v>124668.6</v>
      </c>
      <c r="G138" s="28">
        <f t="shared" ref="G138:H138" si="172">SUM(G140:G142)</f>
        <v>0</v>
      </c>
      <c r="H138" s="28">
        <f t="shared" si="172"/>
        <v>124668.6</v>
      </c>
      <c r="I138" s="28">
        <f t="shared" ref="I138" si="173">SUM(I140:I142)</f>
        <v>0</v>
      </c>
      <c r="J138" s="28">
        <f t="shared" si="164"/>
        <v>124626.2</v>
      </c>
      <c r="K138" s="28">
        <f t="shared" ref="K138:M138" si="174">SUM(K140:K142)</f>
        <v>0</v>
      </c>
      <c r="L138" s="28">
        <f t="shared" si="174"/>
        <v>124626.2</v>
      </c>
      <c r="M138" s="28">
        <f t="shared" si="174"/>
        <v>0</v>
      </c>
      <c r="N138" s="27">
        <f t="shared" si="165"/>
        <v>16019.4</v>
      </c>
      <c r="O138" s="28">
        <f t="shared" ref="O138:T138" si="175">SUM(O140:O142)</f>
        <v>0</v>
      </c>
      <c r="P138" s="28">
        <f t="shared" si="175"/>
        <v>16019.4</v>
      </c>
      <c r="Q138" s="28">
        <f t="shared" si="175"/>
        <v>0</v>
      </c>
      <c r="R138" s="27">
        <f t="shared" si="166"/>
        <v>10689.4</v>
      </c>
      <c r="S138" s="28">
        <f t="shared" si="175"/>
        <v>0</v>
      </c>
      <c r="T138" s="28">
        <f t="shared" si="175"/>
        <v>10689.4</v>
      </c>
      <c r="U138" s="28">
        <f t="shared" ref="U138" si="176">SUM(U140:U142)</f>
        <v>0</v>
      </c>
      <c r="V138" s="40">
        <f t="shared" si="118"/>
        <v>1</v>
      </c>
    </row>
    <row r="139" spans="1:101" ht="18.75">
      <c r="A139" s="14"/>
      <c r="B139" s="31" t="s">
        <v>15</v>
      </c>
      <c r="C139" s="63"/>
      <c r="D139" s="63"/>
      <c r="E139" s="63"/>
      <c r="F139" s="28"/>
      <c r="G139" s="28"/>
      <c r="H139" s="28"/>
      <c r="I139" s="28"/>
      <c r="J139" s="28"/>
      <c r="K139" s="28"/>
      <c r="L139" s="28"/>
      <c r="M139" s="28"/>
      <c r="N139" s="27"/>
      <c r="O139" s="28"/>
      <c r="P139" s="28"/>
      <c r="Q139" s="28"/>
      <c r="R139" s="27"/>
      <c r="S139" s="28"/>
      <c r="T139" s="28"/>
      <c r="U139" s="28"/>
      <c r="V139" s="40"/>
    </row>
    <row r="140" spans="1:101" ht="33">
      <c r="A140" s="14"/>
      <c r="B140" s="79" t="s">
        <v>94</v>
      </c>
      <c r="C140" s="64">
        <v>838</v>
      </c>
      <c r="D140" s="65" t="s">
        <v>95</v>
      </c>
      <c r="E140" s="64" t="s">
        <v>194</v>
      </c>
      <c r="F140" s="27">
        <f t="shared" ref="F140:F183" si="177">G140+H140+I140</f>
        <v>11116.9</v>
      </c>
      <c r="G140" s="33"/>
      <c r="H140" s="33">
        <v>11116.9</v>
      </c>
      <c r="I140" s="33"/>
      <c r="J140" s="28">
        <f t="shared" ref="J140:J142" si="178">K140+L140+M140</f>
        <v>11116.9</v>
      </c>
      <c r="K140" s="33"/>
      <c r="L140" s="33">
        <f>2034.6+548+596.2+1062.3+5459+1416.8</f>
        <v>11116.9</v>
      </c>
      <c r="M140" s="33"/>
      <c r="N140" s="27">
        <f t="shared" ref="N140:N142" si="179">O140+P140+Q140</f>
        <v>10546.8</v>
      </c>
      <c r="O140" s="33"/>
      <c r="P140" s="33">
        <v>10546.8</v>
      </c>
      <c r="Q140" s="33"/>
      <c r="R140" s="27">
        <f t="shared" ref="R140:R142" si="180">S140+T140+U140</f>
        <v>10689.4</v>
      </c>
      <c r="S140" s="33"/>
      <c r="T140" s="33">
        <v>10689.4</v>
      </c>
      <c r="U140" s="33"/>
      <c r="V140" s="71">
        <f t="shared" ref="V140:V183" si="181">J140/F140</f>
        <v>1</v>
      </c>
    </row>
    <row r="141" spans="1:101" ht="99.75" customHeight="1">
      <c r="A141" s="14"/>
      <c r="B141" s="35" t="s">
        <v>96</v>
      </c>
      <c r="C141" s="64">
        <v>838</v>
      </c>
      <c r="D141" s="65" t="s">
        <v>95</v>
      </c>
      <c r="E141" s="64" t="s">
        <v>195</v>
      </c>
      <c r="F141" s="27">
        <f t="shared" si="177"/>
        <v>14663.7</v>
      </c>
      <c r="G141" s="33"/>
      <c r="H141" s="33">
        <v>14663.7</v>
      </c>
      <c r="I141" s="33"/>
      <c r="J141" s="28">
        <f t="shared" si="178"/>
        <v>14658</v>
      </c>
      <c r="K141" s="33"/>
      <c r="L141" s="33">
        <f>4376.4+10281.6</f>
        <v>14658</v>
      </c>
      <c r="M141" s="33"/>
      <c r="N141" s="27">
        <f t="shared" si="179"/>
        <v>5472.6</v>
      </c>
      <c r="O141" s="33"/>
      <c r="P141" s="33">
        <v>5472.6</v>
      </c>
      <c r="Q141" s="33"/>
      <c r="R141" s="27">
        <f t="shared" si="180"/>
        <v>0</v>
      </c>
      <c r="S141" s="33"/>
      <c r="T141" s="33"/>
      <c r="U141" s="33"/>
      <c r="V141" s="71">
        <f t="shared" si="181"/>
        <v>1</v>
      </c>
    </row>
    <row r="142" spans="1:101" ht="90" customHeight="1">
      <c r="A142" s="14"/>
      <c r="B142" s="35" t="s">
        <v>97</v>
      </c>
      <c r="C142" s="64">
        <v>838</v>
      </c>
      <c r="D142" s="65" t="s">
        <v>95</v>
      </c>
      <c r="E142" s="64" t="s">
        <v>196</v>
      </c>
      <c r="F142" s="27">
        <f t="shared" si="177"/>
        <v>98888</v>
      </c>
      <c r="G142" s="33"/>
      <c r="H142" s="33">
        <v>98888</v>
      </c>
      <c r="I142" s="33"/>
      <c r="J142" s="28">
        <f t="shared" si="178"/>
        <v>98851.3</v>
      </c>
      <c r="K142" s="33"/>
      <c r="L142" s="33">
        <f>83338.8+15512.5</f>
        <v>98851.3</v>
      </c>
      <c r="M142" s="33"/>
      <c r="N142" s="27">
        <f t="shared" si="179"/>
        <v>0</v>
      </c>
      <c r="O142" s="33"/>
      <c r="P142" s="33"/>
      <c r="Q142" s="33"/>
      <c r="R142" s="27">
        <f t="shared" si="180"/>
        <v>0</v>
      </c>
      <c r="S142" s="33"/>
      <c r="T142" s="33"/>
      <c r="U142" s="33"/>
      <c r="V142" s="71">
        <f t="shared" si="181"/>
        <v>1</v>
      </c>
    </row>
    <row r="143" spans="1:101" ht="18.75">
      <c r="A143" s="14"/>
      <c r="B143" s="31" t="s">
        <v>15</v>
      </c>
      <c r="C143" s="63"/>
      <c r="D143" s="63"/>
      <c r="E143" s="63"/>
      <c r="F143" s="28"/>
      <c r="G143" s="28"/>
      <c r="H143" s="28"/>
      <c r="I143" s="28"/>
      <c r="J143" s="28"/>
      <c r="K143" s="28"/>
      <c r="L143" s="28"/>
      <c r="M143" s="28"/>
      <c r="N143" s="27"/>
      <c r="O143" s="28"/>
      <c r="P143" s="28"/>
      <c r="Q143" s="28"/>
      <c r="R143" s="27"/>
      <c r="S143" s="28"/>
      <c r="T143" s="28"/>
      <c r="U143" s="28"/>
      <c r="V143" s="40"/>
    </row>
    <row r="144" spans="1:101" ht="38.25" customHeight="1">
      <c r="A144" s="11" t="s">
        <v>98</v>
      </c>
      <c r="B144" s="25" t="s">
        <v>104</v>
      </c>
      <c r="C144" s="39" t="s">
        <v>12</v>
      </c>
      <c r="D144" s="39" t="s">
        <v>12</v>
      </c>
      <c r="E144" s="39" t="s">
        <v>12</v>
      </c>
      <c r="F144" s="27">
        <f t="shared" si="177"/>
        <v>2284.6</v>
      </c>
      <c r="G144" s="28">
        <f t="shared" ref="G144:T144" si="182">G147+G146</f>
        <v>2284.6</v>
      </c>
      <c r="H144" s="28">
        <f t="shared" si="182"/>
        <v>0</v>
      </c>
      <c r="I144" s="28">
        <f t="shared" ref="I144" si="183">I147+I146</f>
        <v>0</v>
      </c>
      <c r="J144" s="27">
        <f t="shared" ref="J144" si="184">K144+L144+M144</f>
        <v>2284.6</v>
      </c>
      <c r="K144" s="28">
        <f t="shared" ref="K144:M144" si="185">K147+K146</f>
        <v>2284.6</v>
      </c>
      <c r="L144" s="28">
        <f t="shared" si="185"/>
        <v>0</v>
      </c>
      <c r="M144" s="28">
        <f t="shared" si="185"/>
        <v>0</v>
      </c>
      <c r="N144" s="27">
        <f t="shared" ref="N144" si="186">O144+P144+Q144</f>
        <v>7697.2</v>
      </c>
      <c r="O144" s="28">
        <f t="shared" si="182"/>
        <v>4107.2</v>
      </c>
      <c r="P144" s="28">
        <f t="shared" si="182"/>
        <v>3590</v>
      </c>
      <c r="Q144" s="28">
        <f t="shared" si="182"/>
        <v>0</v>
      </c>
      <c r="R144" s="27">
        <f t="shared" ref="R144" si="187">S144+T144+U144</f>
        <v>27762.2</v>
      </c>
      <c r="S144" s="28">
        <f t="shared" si="182"/>
        <v>1762.2</v>
      </c>
      <c r="T144" s="28">
        <f t="shared" si="182"/>
        <v>26000</v>
      </c>
      <c r="U144" s="28">
        <f t="shared" ref="U144" si="188">U147+U146</f>
        <v>0</v>
      </c>
      <c r="V144" s="29">
        <f t="shared" si="181"/>
        <v>1</v>
      </c>
    </row>
    <row r="145" spans="1:101" ht="18.75">
      <c r="A145" s="14"/>
      <c r="B145" s="31" t="s">
        <v>15</v>
      </c>
      <c r="C145" s="63"/>
      <c r="D145" s="63"/>
      <c r="E145" s="63"/>
      <c r="F145" s="28"/>
      <c r="G145" s="28"/>
      <c r="H145" s="28"/>
      <c r="I145" s="28"/>
      <c r="J145" s="28"/>
      <c r="K145" s="28"/>
      <c r="L145" s="28"/>
      <c r="M145" s="28"/>
      <c r="N145" s="27"/>
      <c r="O145" s="28"/>
      <c r="P145" s="28"/>
      <c r="Q145" s="28"/>
      <c r="R145" s="27"/>
      <c r="S145" s="28"/>
      <c r="T145" s="28"/>
      <c r="U145" s="28"/>
      <c r="V145" s="40"/>
    </row>
    <row r="146" spans="1:101" ht="49.5">
      <c r="A146" s="14"/>
      <c r="B146" s="35" t="s">
        <v>312</v>
      </c>
      <c r="C146" s="64">
        <v>810</v>
      </c>
      <c r="D146" s="65" t="s">
        <v>103</v>
      </c>
      <c r="E146" s="64" t="s">
        <v>313</v>
      </c>
      <c r="F146" s="28">
        <f t="shared" si="177"/>
        <v>0</v>
      </c>
      <c r="G146" s="28"/>
      <c r="H146" s="28"/>
      <c r="I146" s="28"/>
      <c r="J146" s="28">
        <f t="shared" ref="J146:J148" si="189">K146+L146+M146</f>
        <v>0</v>
      </c>
      <c r="K146" s="28"/>
      <c r="L146" s="28"/>
      <c r="M146" s="28"/>
      <c r="N146" s="27">
        <f t="shared" ref="N146:N148" si="190">O146+P146+Q146</f>
        <v>3590</v>
      </c>
      <c r="O146" s="28"/>
      <c r="P146" s="33">
        <v>3590</v>
      </c>
      <c r="Q146" s="28"/>
      <c r="R146" s="27">
        <f t="shared" ref="R146:R148" si="191">S146+T146+U146</f>
        <v>26000</v>
      </c>
      <c r="S146" s="28"/>
      <c r="T146" s="33">
        <v>26000</v>
      </c>
      <c r="U146" s="33"/>
      <c r="V146" s="40"/>
    </row>
    <row r="147" spans="1:101" ht="54.75" customHeight="1">
      <c r="A147" s="14"/>
      <c r="B147" s="35" t="s">
        <v>105</v>
      </c>
      <c r="C147" s="64">
        <v>810</v>
      </c>
      <c r="D147" s="65" t="s">
        <v>103</v>
      </c>
      <c r="E147" s="64" t="s">
        <v>193</v>
      </c>
      <c r="F147" s="27">
        <f t="shared" si="177"/>
        <v>2284.6</v>
      </c>
      <c r="G147" s="33">
        <f>1762.2+1965-1442.6</f>
        <v>2284.6</v>
      </c>
      <c r="H147" s="33"/>
      <c r="I147" s="33"/>
      <c r="J147" s="28">
        <f t="shared" si="189"/>
        <v>2284.6</v>
      </c>
      <c r="K147" s="33">
        <f>2256.2+28.4</f>
        <v>2284.6</v>
      </c>
      <c r="L147" s="33"/>
      <c r="M147" s="33"/>
      <c r="N147" s="27">
        <f t="shared" si="190"/>
        <v>4107.2</v>
      </c>
      <c r="O147" s="33">
        <v>4107.2</v>
      </c>
      <c r="P147" s="33"/>
      <c r="Q147" s="33"/>
      <c r="R147" s="27">
        <f t="shared" si="191"/>
        <v>1762.2</v>
      </c>
      <c r="S147" s="33">
        <v>1762.2</v>
      </c>
      <c r="T147" s="33"/>
      <c r="U147" s="33"/>
      <c r="V147" s="71">
        <f t="shared" si="181"/>
        <v>1</v>
      </c>
    </row>
    <row r="148" spans="1:101" s="8" customFormat="1" ht="26.25" customHeight="1">
      <c r="A148" s="24" t="s">
        <v>102</v>
      </c>
      <c r="B148" s="54" t="s">
        <v>198</v>
      </c>
      <c r="C148" s="70" t="s">
        <v>12</v>
      </c>
      <c r="D148" s="10" t="s">
        <v>12</v>
      </c>
      <c r="E148" s="70" t="s">
        <v>12</v>
      </c>
      <c r="F148" s="27">
        <f t="shared" si="177"/>
        <v>95502.399999999994</v>
      </c>
      <c r="G148" s="28">
        <f t="shared" ref="G148:H148" si="192">G150</f>
        <v>15364.7</v>
      </c>
      <c r="H148" s="28">
        <f t="shared" si="192"/>
        <v>75016.100000000006</v>
      </c>
      <c r="I148" s="28">
        <f t="shared" ref="I148" si="193">I150</f>
        <v>5121.6000000000004</v>
      </c>
      <c r="J148" s="28">
        <f t="shared" si="189"/>
        <v>95502.399999999994</v>
      </c>
      <c r="K148" s="28">
        <f t="shared" ref="K148:M148" si="194">K150</f>
        <v>15364.7</v>
      </c>
      <c r="L148" s="28">
        <f t="shared" si="194"/>
        <v>75016.100000000006</v>
      </c>
      <c r="M148" s="28">
        <f t="shared" si="194"/>
        <v>5121.6000000000004</v>
      </c>
      <c r="N148" s="28">
        <f t="shared" si="190"/>
        <v>94407.1</v>
      </c>
      <c r="O148" s="28">
        <f t="shared" ref="O148:T148" si="195">O150</f>
        <v>11749.5</v>
      </c>
      <c r="P148" s="28">
        <f t="shared" si="195"/>
        <v>78631.3</v>
      </c>
      <c r="Q148" s="28">
        <f t="shared" si="195"/>
        <v>4026.3</v>
      </c>
      <c r="R148" s="28">
        <f t="shared" si="191"/>
        <v>97993.4</v>
      </c>
      <c r="S148" s="28">
        <f t="shared" si="195"/>
        <v>12210</v>
      </c>
      <c r="T148" s="28">
        <f t="shared" si="195"/>
        <v>81713.399999999994</v>
      </c>
      <c r="U148" s="28">
        <f t="shared" ref="U148" si="196">U150</f>
        <v>4070</v>
      </c>
      <c r="V148" s="40">
        <f t="shared" si="181"/>
        <v>1</v>
      </c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  <c r="BC148" s="3"/>
      <c r="BD148" s="3"/>
      <c r="BE148" s="3"/>
      <c r="BF148" s="3"/>
      <c r="BG148" s="3"/>
      <c r="BH148" s="3"/>
      <c r="BI148" s="3"/>
      <c r="BJ148" s="3"/>
      <c r="BK148" s="3"/>
      <c r="BL148" s="3"/>
      <c r="BM148" s="3"/>
      <c r="BN148" s="3"/>
      <c r="BO148" s="3"/>
      <c r="BP148" s="3"/>
      <c r="BQ148" s="3"/>
      <c r="BR148" s="3"/>
      <c r="BS148" s="3"/>
      <c r="BT148" s="3"/>
      <c r="BU148" s="3"/>
      <c r="BV148" s="3"/>
      <c r="BW148" s="3"/>
      <c r="BX148" s="3"/>
      <c r="BY148" s="3"/>
      <c r="BZ148" s="3"/>
      <c r="CA148" s="3"/>
      <c r="CB148" s="3"/>
      <c r="CC148" s="3"/>
      <c r="CD148" s="3"/>
      <c r="CE148" s="3"/>
      <c r="CF148" s="3"/>
      <c r="CG148" s="3"/>
      <c r="CH148" s="3"/>
      <c r="CI148" s="3"/>
      <c r="CJ148" s="3"/>
      <c r="CK148" s="3"/>
      <c r="CL148" s="3"/>
      <c r="CM148" s="3"/>
      <c r="CN148" s="3"/>
      <c r="CO148" s="3"/>
      <c r="CP148" s="3"/>
      <c r="CQ148" s="3"/>
      <c r="CR148" s="3"/>
      <c r="CS148" s="3"/>
      <c r="CT148" s="3"/>
      <c r="CU148" s="3"/>
      <c r="CV148" s="3"/>
      <c r="CW148" s="3"/>
    </row>
    <row r="149" spans="1:101" ht="18.75">
      <c r="A149" s="14"/>
      <c r="B149" s="31" t="s">
        <v>15</v>
      </c>
      <c r="C149" s="63"/>
      <c r="D149" s="74"/>
      <c r="E149" s="63"/>
      <c r="F149" s="27"/>
      <c r="G149" s="28"/>
      <c r="H149" s="28"/>
      <c r="I149" s="28"/>
      <c r="J149" s="28"/>
      <c r="K149" s="28"/>
      <c r="L149" s="28"/>
      <c r="M149" s="28"/>
      <c r="N149" s="27"/>
      <c r="O149" s="28"/>
      <c r="P149" s="28"/>
      <c r="Q149" s="28"/>
      <c r="R149" s="27"/>
      <c r="S149" s="28"/>
      <c r="T149" s="28"/>
      <c r="U149" s="28"/>
      <c r="V149" s="40"/>
    </row>
    <row r="150" spans="1:101" ht="54.75" customHeight="1">
      <c r="A150" s="14"/>
      <c r="B150" s="35" t="s">
        <v>200</v>
      </c>
      <c r="C150" s="64">
        <v>810</v>
      </c>
      <c r="D150" s="65" t="s">
        <v>103</v>
      </c>
      <c r="E150" s="36" t="s">
        <v>199</v>
      </c>
      <c r="F150" s="27">
        <f t="shared" si="177"/>
        <v>95502.399999999994</v>
      </c>
      <c r="G150" s="33">
        <v>15364.7</v>
      </c>
      <c r="H150" s="33">
        <v>75016.100000000006</v>
      </c>
      <c r="I150" s="33">
        <v>5121.6000000000004</v>
      </c>
      <c r="J150" s="28">
        <f t="shared" ref="J150:J152" si="197">K150+L150+M150</f>
        <v>95502.399999999994</v>
      </c>
      <c r="K150" s="33">
        <f>14749.8+614.9</f>
        <v>15364.7</v>
      </c>
      <c r="L150" s="33">
        <f>72014.1+3002</f>
        <v>75016.100000000006</v>
      </c>
      <c r="M150" s="33">
        <v>5121.6000000000004</v>
      </c>
      <c r="N150" s="27">
        <f t="shared" ref="N150:N152" si="198">O150+P150+Q150</f>
        <v>94407.1</v>
      </c>
      <c r="O150" s="33">
        <v>11749.5</v>
      </c>
      <c r="P150" s="33">
        <v>78631.3</v>
      </c>
      <c r="Q150" s="33">
        <v>4026.3</v>
      </c>
      <c r="R150" s="27">
        <f t="shared" ref="R150:R152" si="199">S150+T150+U150</f>
        <v>97993.4</v>
      </c>
      <c r="S150" s="33">
        <v>12210</v>
      </c>
      <c r="T150" s="33">
        <v>81713.399999999994</v>
      </c>
      <c r="U150" s="33">
        <v>4070</v>
      </c>
      <c r="V150" s="71">
        <f t="shared" si="181"/>
        <v>1</v>
      </c>
    </row>
    <row r="151" spans="1:101" s="78" customFormat="1" ht="39" customHeight="1">
      <c r="A151" s="19" t="s">
        <v>106</v>
      </c>
      <c r="B151" s="68" t="s">
        <v>107</v>
      </c>
      <c r="C151" s="21" t="s">
        <v>12</v>
      </c>
      <c r="D151" s="21" t="s">
        <v>12</v>
      </c>
      <c r="E151" s="21" t="s">
        <v>12</v>
      </c>
      <c r="F151" s="50">
        <f t="shared" si="177"/>
        <v>4411827.9000000004</v>
      </c>
      <c r="G151" s="50">
        <f>G152+G161+G155</f>
        <v>3522434.2</v>
      </c>
      <c r="H151" s="50">
        <f>H152+H161+H155</f>
        <v>680000</v>
      </c>
      <c r="I151" s="50">
        <f>I152+I161+I155</f>
        <v>209393.7</v>
      </c>
      <c r="J151" s="50">
        <f t="shared" si="197"/>
        <v>4238932</v>
      </c>
      <c r="K151" s="50">
        <f>K152+K161+K155</f>
        <v>3349765.6</v>
      </c>
      <c r="L151" s="50">
        <f>L152+L161+L155</f>
        <v>680000</v>
      </c>
      <c r="M151" s="50">
        <f>M152+M161+M155</f>
        <v>209166.4</v>
      </c>
      <c r="N151" s="50">
        <f t="shared" si="198"/>
        <v>4328611.8</v>
      </c>
      <c r="O151" s="50">
        <f>O152+O161+O155</f>
        <v>4158611.8</v>
      </c>
      <c r="P151" s="50">
        <f>P152+P161+P155</f>
        <v>120000</v>
      </c>
      <c r="Q151" s="50">
        <f>Q152+Q161+Q155</f>
        <v>50000</v>
      </c>
      <c r="R151" s="50">
        <f t="shared" si="199"/>
        <v>5643476.5</v>
      </c>
      <c r="S151" s="50">
        <f>S152+S161+S155</f>
        <v>5473476.5</v>
      </c>
      <c r="T151" s="50">
        <f>T152+T161+T155</f>
        <v>120000</v>
      </c>
      <c r="U151" s="50">
        <f>U152+U161+U155</f>
        <v>50000</v>
      </c>
      <c r="V151" s="51">
        <f t="shared" si="181"/>
        <v>0.96099999999999997</v>
      </c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  <c r="BF151" s="3"/>
      <c r="BG151" s="3"/>
      <c r="BH151" s="3"/>
      <c r="BI151" s="3"/>
      <c r="BJ151" s="3"/>
      <c r="BK151" s="3"/>
      <c r="BL151" s="3"/>
      <c r="BM151" s="3"/>
      <c r="BN151" s="3"/>
      <c r="BO151" s="3"/>
      <c r="BP151" s="3"/>
      <c r="BQ151" s="3"/>
      <c r="BR151" s="3"/>
      <c r="BS151" s="3"/>
      <c r="BT151" s="3"/>
      <c r="BU151" s="3"/>
      <c r="BV151" s="3"/>
      <c r="BW151" s="3"/>
      <c r="BX151" s="3"/>
      <c r="BY151" s="3"/>
      <c r="BZ151" s="3"/>
      <c r="CA151" s="3"/>
      <c r="CB151" s="3"/>
      <c r="CC151" s="3"/>
      <c r="CD151" s="3"/>
      <c r="CE151" s="3"/>
      <c r="CF151" s="3"/>
      <c r="CG151" s="3"/>
      <c r="CH151" s="3"/>
      <c r="CI151" s="3"/>
      <c r="CJ151" s="3"/>
      <c r="CK151" s="3"/>
      <c r="CL151" s="3"/>
      <c r="CM151" s="3"/>
      <c r="CN151" s="3"/>
      <c r="CO151" s="3"/>
      <c r="CP151" s="3"/>
      <c r="CQ151" s="3"/>
      <c r="CR151" s="3"/>
      <c r="CS151" s="3"/>
      <c r="CT151" s="3"/>
      <c r="CU151" s="3"/>
      <c r="CV151" s="3"/>
      <c r="CW151" s="3"/>
    </row>
    <row r="152" spans="1:101" ht="26.25" customHeight="1">
      <c r="A152" s="11" t="s">
        <v>108</v>
      </c>
      <c r="B152" s="25" t="s">
        <v>109</v>
      </c>
      <c r="C152" s="66" t="s">
        <v>12</v>
      </c>
      <c r="D152" s="66" t="s">
        <v>12</v>
      </c>
      <c r="E152" s="66" t="s">
        <v>12</v>
      </c>
      <c r="F152" s="28">
        <f t="shared" si="177"/>
        <v>4194062.1</v>
      </c>
      <c r="G152" s="28">
        <f>SUM(G154:G154)</f>
        <v>3304668.4</v>
      </c>
      <c r="H152" s="28">
        <f>SUM(H154:H154)</f>
        <v>680000</v>
      </c>
      <c r="I152" s="28">
        <f>SUM(I154:I154)</f>
        <v>209393.7</v>
      </c>
      <c r="J152" s="28">
        <f t="shared" si="197"/>
        <v>4055764.5</v>
      </c>
      <c r="K152" s="28">
        <f>SUM(K154:K154)</f>
        <v>3166598.1</v>
      </c>
      <c r="L152" s="28">
        <f>SUM(L154:L154)</f>
        <v>680000</v>
      </c>
      <c r="M152" s="28">
        <f>SUM(M154:M154)</f>
        <v>209166.4</v>
      </c>
      <c r="N152" s="27">
        <f t="shared" si="198"/>
        <v>4002583.4</v>
      </c>
      <c r="O152" s="28">
        <f>SUM(O154:O154)</f>
        <v>3952583.4</v>
      </c>
      <c r="P152" s="28">
        <f>SUM(P154:P154)</f>
        <v>0</v>
      </c>
      <c r="Q152" s="28">
        <f>SUM(Q154:Q154)</f>
        <v>50000</v>
      </c>
      <c r="R152" s="27">
        <f t="shared" si="199"/>
        <v>5325896.5</v>
      </c>
      <c r="S152" s="28">
        <f>SUM(S154:S154)</f>
        <v>5275896.5</v>
      </c>
      <c r="T152" s="28">
        <f>SUM(T154:T154)</f>
        <v>0</v>
      </c>
      <c r="U152" s="28">
        <f>SUM(U154:U154)</f>
        <v>50000</v>
      </c>
      <c r="V152" s="29">
        <f t="shared" si="181"/>
        <v>0.96699999999999997</v>
      </c>
    </row>
    <row r="153" spans="1:101" ht="18.75">
      <c r="A153" s="14"/>
      <c r="B153" s="31" t="s">
        <v>15</v>
      </c>
      <c r="C153" s="63"/>
      <c r="D153" s="63"/>
      <c r="E153" s="63"/>
      <c r="F153" s="28"/>
      <c r="G153" s="28"/>
      <c r="H153" s="28"/>
      <c r="I153" s="28"/>
      <c r="J153" s="28"/>
      <c r="K153" s="28"/>
      <c r="L153" s="28"/>
      <c r="M153" s="28"/>
      <c r="N153" s="27"/>
      <c r="O153" s="28"/>
      <c r="P153" s="28"/>
      <c r="Q153" s="28"/>
      <c r="R153" s="27"/>
      <c r="S153" s="28"/>
      <c r="T153" s="28"/>
      <c r="U153" s="28"/>
      <c r="V153" s="40"/>
    </row>
    <row r="154" spans="1:101" ht="60.75" customHeight="1">
      <c r="A154" s="14"/>
      <c r="B154" s="35" t="s">
        <v>368</v>
      </c>
      <c r="C154" s="64">
        <v>822</v>
      </c>
      <c r="D154" s="65" t="s">
        <v>110</v>
      </c>
      <c r="E154" s="36" t="s">
        <v>197</v>
      </c>
      <c r="F154" s="27">
        <f t="shared" si="177"/>
        <v>4194062.1</v>
      </c>
      <c r="G154" s="33">
        <f>3422994.8-156147-10490+2000+46078.4+232.2</f>
        <v>3304668.4</v>
      </c>
      <c r="H154" s="33">
        <f>340000+340000</f>
        <v>680000</v>
      </c>
      <c r="I154" s="33">
        <v>209393.7</v>
      </c>
      <c r="J154" s="28">
        <f t="shared" ref="J154:J155" si="200">K154+L154+M154</f>
        <v>4055764.5</v>
      </c>
      <c r="K154" s="33">
        <f>2596472+570126.1</f>
        <v>3166598.1</v>
      </c>
      <c r="L154" s="33">
        <f>658839.9+21160.1</f>
        <v>680000</v>
      </c>
      <c r="M154" s="33">
        <v>209166.4</v>
      </c>
      <c r="N154" s="27">
        <f t="shared" ref="N154:N155" si="201">O154+P154+Q154</f>
        <v>4002583.4</v>
      </c>
      <c r="O154" s="33">
        <f>4361196.1-182612.7-226000</f>
        <v>3952583.4</v>
      </c>
      <c r="P154" s="33"/>
      <c r="Q154" s="33">
        <v>50000</v>
      </c>
      <c r="R154" s="27">
        <f t="shared" ref="R154:R155" si="202">S154+T154+U154</f>
        <v>5325896.5</v>
      </c>
      <c r="S154" s="33">
        <f>5271513.2+82859.5-78476.2</f>
        <v>5275896.5</v>
      </c>
      <c r="T154" s="33"/>
      <c r="U154" s="33">
        <v>50000</v>
      </c>
      <c r="V154" s="71">
        <f t="shared" si="181"/>
        <v>0.96699999999999997</v>
      </c>
    </row>
    <row r="155" spans="1:101" ht="36.75" customHeight="1">
      <c r="A155" s="11" t="s">
        <v>237</v>
      </c>
      <c r="B155" s="25" t="s">
        <v>248</v>
      </c>
      <c r="C155" s="39" t="s">
        <v>12</v>
      </c>
      <c r="D155" s="39" t="s">
        <v>12</v>
      </c>
      <c r="E155" s="39" t="s">
        <v>12</v>
      </c>
      <c r="F155" s="27">
        <f t="shared" si="177"/>
        <v>168541.9</v>
      </c>
      <c r="G155" s="28">
        <f>SUM(G157:G160)</f>
        <v>168541.9</v>
      </c>
      <c r="H155" s="28">
        <f>SUM(H157:H160)</f>
        <v>0</v>
      </c>
      <c r="I155" s="28">
        <f>SUM(I157:I160)</f>
        <v>0</v>
      </c>
      <c r="J155" s="27">
        <f t="shared" si="200"/>
        <v>164368.6</v>
      </c>
      <c r="K155" s="28">
        <f>SUM(K157:K160)</f>
        <v>164368.6</v>
      </c>
      <c r="L155" s="28">
        <f>SUM(L157:L160)</f>
        <v>0</v>
      </c>
      <c r="M155" s="28">
        <f>SUM(M157:M160)</f>
        <v>0</v>
      </c>
      <c r="N155" s="27">
        <f t="shared" si="201"/>
        <v>152278.39999999999</v>
      </c>
      <c r="O155" s="28">
        <f>SUM(O157:O160)</f>
        <v>152278.39999999999</v>
      </c>
      <c r="P155" s="28">
        <f>SUM(P157:P160)</f>
        <v>0</v>
      </c>
      <c r="Q155" s="28">
        <f>SUM(Q157:Q160)</f>
        <v>0</v>
      </c>
      <c r="R155" s="27">
        <f t="shared" si="202"/>
        <v>157580</v>
      </c>
      <c r="S155" s="28">
        <f>SUM(S157:S160)</f>
        <v>157580</v>
      </c>
      <c r="T155" s="28">
        <f>SUM(T157:T160)</f>
        <v>0</v>
      </c>
      <c r="U155" s="28">
        <f>SUM(U157:U160)</f>
        <v>0</v>
      </c>
      <c r="V155" s="29">
        <f t="shared" si="181"/>
        <v>0.97499999999999998</v>
      </c>
    </row>
    <row r="156" spans="1:101" ht="18.75">
      <c r="A156" s="14"/>
      <c r="B156" s="31" t="s">
        <v>15</v>
      </c>
      <c r="C156" s="63"/>
      <c r="D156" s="63"/>
      <c r="E156" s="63"/>
      <c r="F156" s="28"/>
      <c r="G156" s="33"/>
      <c r="H156" s="33"/>
      <c r="I156" s="33"/>
      <c r="J156" s="28"/>
      <c r="K156" s="33"/>
      <c r="L156" s="33"/>
      <c r="M156" s="33"/>
      <c r="N156" s="27"/>
      <c r="O156" s="33"/>
      <c r="P156" s="33"/>
      <c r="Q156" s="33"/>
      <c r="R156" s="27"/>
      <c r="S156" s="33"/>
      <c r="T156" s="33"/>
      <c r="U156" s="33"/>
      <c r="V156" s="71"/>
    </row>
    <row r="157" spans="1:101" ht="58.5" customHeight="1">
      <c r="A157" s="14"/>
      <c r="B157" s="35" t="s">
        <v>368</v>
      </c>
      <c r="C157" s="64">
        <v>811</v>
      </c>
      <c r="D157" s="65" t="s">
        <v>17</v>
      </c>
      <c r="E157" s="64" t="s">
        <v>236</v>
      </c>
      <c r="F157" s="28">
        <f t="shared" si="177"/>
        <v>367.5</v>
      </c>
      <c r="G157" s="33">
        <v>367.5</v>
      </c>
      <c r="H157" s="33"/>
      <c r="I157" s="33"/>
      <c r="J157" s="28">
        <f t="shared" ref="J157:J161" si="203">K157+L157+M157</f>
        <v>359.8</v>
      </c>
      <c r="K157" s="33">
        <f>290.6+69.2</f>
        <v>359.8</v>
      </c>
      <c r="L157" s="33"/>
      <c r="M157" s="33"/>
      <c r="N157" s="27">
        <f t="shared" ref="N157:N161" si="204">O157+P157+Q157</f>
        <v>367.5</v>
      </c>
      <c r="O157" s="33">
        <v>367.5</v>
      </c>
      <c r="P157" s="33"/>
      <c r="Q157" s="33"/>
      <c r="R157" s="27">
        <f t="shared" ref="R157:R161" si="205">S157+T157+U157</f>
        <v>367.5</v>
      </c>
      <c r="S157" s="33">
        <v>367.5</v>
      </c>
      <c r="T157" s="33"/>
      <c r="U157" s="33"/>
      <c r="V157" s="71">
        <f t="shared" si="181"/>
        <v>0.97899999999999998</v>
      </c>
    </row>
    <row r="158" spans="1:101" ht="57" customHeight="1">
      <c r="A158" s="14"/>
      <c r="B158" s="35" t="s">
        <v>368</v>
      </c>
      <c r="C158" s="64">
        <v>815</v>
      </c>
      <c r="D158" s="65" t="s">
        <v>50</v>
      </c>
      <c r="E158" s="64" t="s">
        <v>236</v>
      </c>
      <c r="F158" s="28">
        <f t="shared" si="177"/>
        <v>2931.5</v>
      </c>
      <c r="G158" s="33">
        <v>2931.5</v>
      </c>
      <c r="H158" s="33"/>
      <c r="I158" s="33"/>
      <c r="J158" s="28">
        <f t="shared" si="203"/>
        <v>2692.3</v>
      </c>
      <c r="K158" s="33">
        <f>2241.2+451.1</f>
        <v>2692.3</v>
      </c>
      <c r="L158" s="33"/>
      <c r="M158" s="33"/>
      <c r="N158" s="27">
        <f t="shared" si="204"/>
        <v>2931.5</v>
      </c>
      <c r="O158" s="33">
        <v>2931.5</v>
      </c>
      <c r="P158" s="33"/>
      <c r="Q158" s="33"/>
      <c r="R158" s="27">
        <f t="shared" si="205"/>
        <v>2931.5</v>
      </c>
      <c r="S158" s="33">
        <v>2931.5</v>
      </c>
      <c r="T158" s="33"/>
      <c r="U158" s="33"/>
      <c r="V158" s="71">
        <f t="shared" si="181"/>
        <v>0.91800000000000004</v>
      </c>
    </row>
    <row r="159" spans="1:101" ht="58.5" customHeight="1">
      <c r="A159" s="14"/>
      <c r="B159" s="35" t="s">
        <v>368</v>
      </c>
      <c r="C159" s="64">
        <v>816</v>
      </c>
      <c r="D159" s="65" t="s">
        <v>53</v>
      </c>
      <c r="E159" s="64" t="s">
        <v>236</v>
      </c>
      <c r="F159" s="28">
        <f t="shared" si="177"/>
        <v>81</v>
      </c>
      <c r="G159" s="33">
        <v>81</v>
      </c>
      <c r="H159" s="33"/>
      <c r="I159" s="33"/>
      <c r="J159" s="28">
        <f t="shared" si="203"/>
        <v>71.900000000000006</v>
      </c>
      <c r="K159" s="33">
        <v>71.900000000000006</v>
      </c>
      <c r="L159" s="33"/>
      <c r="M159" s="33"/>
      <c r="N159" s="27">
        <f t="shared" si="204"/>
        <v>81</v>
      </c>
      <c r="O159" s="33">
        <v>81</v>
      </c>
      <c r="P159" s="33"/>
      <c r="Q159" s="33"/>
      <c r="R159" s="27">
        <f t="shared" si="205"/>
        <v>81</v>
      </c>
      <c r="S159" s="33">
        <v>81</v>
      </c>
      <c r="T159" s="33"/>
      <c r="U159" s="33"/>
      <c r="V159" s="71">
        <f t="shared" si="181"/>
        <v>0.88800000000000001</v>
      </c>
    </row>
    <row r="160" spans="1:101" ht="59.25" customHeight="1">
      <c r="A160" s="14"/>
      <c r="B160" s="35" t="s">
        <v>368</v>
      </c>
      <c r="C160" s="64">
        <v>822</v>
      </c>
      <c r="D160" s="65" t="s">
        <v>110</v>
      </c>
      <c r="E160" s="64" t="s">
        <v>236</v>
      </c>
      <c r="F160" s="28">
        <f t="shared" si="177"/>
        <v>165161.9</v>
      </c>
      <c r="G160" s="33">
        <f>176747-11352.9-232.2</f>
        <v>165161.9</v>
      </c>
      <c r="H160" s="33"/>
      <c r="I160" s="33"/>
      <c r="J160" s="28">
        <f t="shared" si="203"/>
        <v>161244.6</v>
      </c>
      <c r="K160" s="33">
        <f>136166.6+25078</f>
        <v>161244.6</v>
      </c>
      <c r="L160" s="33"/>
      <c r="M160" s="33"/>
      <c r="N160" s="27">
        <f t="shared" si="204"/>
        <v>148898.4</v>
      </c>
      <c r="O160" s="33">
        <v>148898.4</v>
      </c>
      <c r="P160" s="33"/>
      <c r="Q160" s="33"/>
      <c r="R160" s="27">
        <f t="shared" si="205"/>
        <v>154200</v>
      </c>
      <c r="S160" s="33">
        <v>154200</v>
      </c>
      <c r="T160" s="33"/>
      <c r="U160" s="33"/>
      <c r="V160" s="71">
        <f t="shared" si="181"/>
        <v>0.97599999999999998</v>
      </c>
    </row>
    <row r="161" spans="1:101" s="8" customFormat="1" ht="38.25" customHeight="1">
      <c r="A161" s="24" t="s">
        <v>247</v>
      </c>
      <c r="B161" s="54" t="s">
        <v>233</v>
      </c>
      <c r="C161" s="26" t="s">
        <v>12</v>
      </c>
      <c r="D161" s="26" t="s">
        <v>12</v>
      </c>
      <c r="E161" s="26" t="s">
        <v>12</v>
      </c>
      <c r="F161" s="28">
        <f t="shared" si="177"/>
        <v>49223.9</v>
      </c>
      <c r="G161" s="28">
        <f>SUM(G163:G164)</f>
        <v>49223.9</v>
      </c>
      <c r="H161" s="28">
        <f>SUM(H163:H164)</f>
        <v>0</v>
      </c>
      <c r="I161" s="28">
        <f>SUM(I163:I164)</f>
        <v>0</v>
      </c>
      <c r="J161" s="28">
        <f t="shared" si="203"/>
        <v>18798.900000000001</v>
      </c>
      <c r="K161" s="28">
        <f>SUM(K163:K164)</f>
        <v>18798.900000000001</v>
      </c>
      <c r="L161" s="28">
        <f>SUM(L163:L164)</f>
        <v>0</v>
      </c>
      <c r="M161" s="28">
        <f>SUM(M163:M164)</f>
        <v>0</v>
      </c>
      <c r="N161" s="28">
        <f t="shared" si="204"/>
        <v>173750</v>
      </c>
      <c r="O161" s="28">
        <f>SUM(O163:O164)</f>
        <v>53750</v>
      </c>
      <c r="P161" s="28">
        <f>SUM(P163:P164)</f>
        <v>120000</v>
      </c>
      <c r="Q161" s="28">
        <f>SUM(Q163:Q164)</f>
        <v>0</v>
      </c>
      <c r="R161" s="28">
        <f t="shared" si="205"/>
        <v>160000</v>
      </c>
      <c r="S161" s="28">
        <f>SUM(S163:S164)</f>
        <v>40000</v>
      </c>
      <c r="T161" s="28">
        <f>SUM(T163:T164)</f>
        <v>120000</v>
      </c>
      <c r="U161" s="28">
        <f>SUM(U163:U164)</f>
        <v>0</v>
      </c>
      <c r="V161" s="40">
        <f t="shared" si="181"/>
        <v>0.38200000000000001</v>
      </c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  <c r="BC161" s="3"/>
      <c r="BD161" s="3"/>
      <c r="BE161" s="3"/>
      <c r="BF161" s="3"/>
      <c r="BG161" s="3"/>
      <c r="BH161" s="3"/>
      <c r="BI161" s="3"/>
      <c r="BJ161" s="3"/>
      <c r="BK161" s="3"/>
      <c r="BL161" s="3"/>
      <c r="BM161" s="3"/>
      <c r="BN161" s="3"/>
      <c r="BO161" s="3"/>
      <c r="BP161" s="3"/>
      <c r="BQ161" s="3"/>
      <c r="BR161" s="3"/>
      <c r="BS161" s="3"/>
      <c r="BT161" s="3"/>
      <c r="BU161" s="3"/>
      <c r="BV161" s="3"/>
      <c r="BW161" s="3"/>
      <c r="BX161" s="3"/>
      <c r="BY161" s="3"/>
      <c r="BZ161" s="3"/>
      <c r="CA161" s="3"/>
      <c r="CB161" s="3"/>
      <c r="CC161" s="3"/>
      <c r="CD161" s="3"/>
      <c r="CE161" s="3"/>
      <c r="CF161" s="3"/>
      <c r="CG161" s="3"/>
      <c r="CH161" s="3"/>
      <c r="CI161" s="3"/>
      <c r="CJ161" s="3"/>
      <c r="CK161" s="3"/>
      <c r="CL161" s="3"/>
      <c r="CM161" s="3"/>
      <c r="CN161" s="3"/>
      <c r="CO161" s="3"/>
      <c r="CP161" s="3"/>
      <c r="CQ161" s="3"/>
      <c r="CR161" s="3"/>
      <c r="CS161" s="3"/>
      <c r="CT161" s="3"/>
      <c r="CU161" s="3"/>
      <c r="CV161" s="3"/>
      <c r="CW161" s="3"/>
    </row>
    <row r="162" spans="1:101" ht="22.5" customHeight="1">
      <c r="A162" s="14"/>
      <c r="B162" s="31" t="s">
        <v>15</v>
      </c>
      <c r="C162" s="63"/>
      <c r="D162" s="63"/>
      <c r="E162" s="63"/>
      <c r="F162" s="28"/>
      <c r="G162" s="28"/>
      <c r="H162" s="28"/>
      <c r="I162" s="28"/>
      <c r="J162" s="28"/>
      <c r="K162" s="28"/>
      <c r="L162" s="28"/>
      <c r="M162" s="28"/>
      <c r="N162" s="27"/>
      <c r="O162" s="28"/>
      <c r="P162" s="28"/>
      <c r="Q162" s="28"/>
      <c r="R162" s="27"/>
      <c r="S162" s="28"/>
      <c r="T162" s="28"/>
      <c r="U162" s="28"/>
      <c r="V162" s="40"/>
    </row>
    <row r="163" spans="1:101" ht="86.25" customHeight="1">
      <c r="A163" s="14"/>
      <c r="B163" s="35" t="s">
        <v>241</v>
      </c>
      <c r="C163" s="64">
        <v>822</v>
      </c>
      <c r="D163" s="65" t="s">
        <v>110</v>
      </c>
      <c r="E163" s="64" t="s">
        <v>240</v>
      </c>
      <c r="F163" s="28">
        <f t="shared" si="177"/>
        <v>15500</v>
      </c>
      <c r="G163" s="33">
        <v>15500</v>
      </c>
      <c r="H163" s="33"/>
      <c r="I163" s="33"/>
      <c r="J163" s="28">
        <f t="shared" ref="J163:J166" si="206">K163+L163+M163</f>
        <v>0</v>
      </c>
      <c r="K163" s="33"/>
      <c r="L163" s="33"/>
      <c r="M163" s="33"/>
      <c r="N163" s="27">
        <f t="shared" ref="N163:N166" si="207">O163+P163+Q163</f>
        <v>120000</v>
      </c>
      <c r="O163" s="33"/>
      <c r="P163" s="33">
        <v>120000</v>
      </c>
      <c r="Q163" s="33"/>
      <c r="R163" s="27">
        <f t="shared" ref="R163:R166" si="208">S163+T163+U163</f>
        <v>120000</v>
      </c>
      <c r="S163" s="33"/>
      <c r="T163" s="33">
        <v>120000</v>
      </c>
      <c r="U163" s="33"/>
      <c r="V163" s="71"/>
    </row>
    <row r="164" spans="1:101" ht="59.25" customHeight="1">
      <c r="A164" s="14"/>
      <c r="B164" s="35" t="s">
        <v>368</v>
      </c>
      <c r="C164" s="64">
        <v>822</v>
      </c>
      <c r="D164" s="65" t="s">
        <v>110</v>
      </c>
      <c r="E164" s="64" t="s">
        <v>300</v>
      </c>
      <c r="F164" s="28">
        <f t="shared" si="177"/>
        <v>33723.9</v>
      </c>
      <c r="G164" s="33">
        <f>36298.9-2000-575</f>
        <v>33723.9</v>
      </c>
      <c r="H164" s="33"/>
      <c r="I164" s="33"/>
      <c r="J164" s="28">
        <f t="shared" si="206"/>
        <v>18798.900000000001</v>
      </c>
      <c r="K164" s="33">
        <v>18798.900000000001</v>
      </c>
      <c r="L164" s="33"/>
      <c r="M164" s="33"/>
      <c r="N164" s="27">
        <f t="shared" si="207"/>
        <v>53750</v>
      </c>
      <c r="O164" s="33">
        <v>53750</v>
      </c>
      <c r="P164" s="33"/>
      <c r="Q164" s="33"/>
      <c r="R164" s="27">
        <f t="shared" si="208"/>
        <v>40000</v>
      </c>
      <c r="S164" s="33">
        <v>40000</v>
      </c>
      <c r="T164" s="33"/>
      <c r="U164" s="33"/>
      <c r="V164" s="71">
        <f t="shared" si="181"/>
        <v>0.55700000000000005</v>
      </c>
    </row>
    <row r="165" spans="1:101" s="78" customFormat="1" ht="28.5" customHeight="1">
      <c r="A165" s="19" t="s">
        <v>111</v>
      </c>
      <c r="B165" s="20" t="s">
        <v>112</v>
      </c>
      <c r="C165" s="21" t="s">
        <v>12</v>
      </c>
      <c r="D165" s="21" t="s">
        <v>12</v>
      </c>
      <c r="E165" s="21" t="s">
        <v>12</v>
      </c>
      <c r="F165" s="50">
        <f t="shared" si="177"/>
        <v>119018.8</v>
      </c>
      <c r="G165" s="50">
        <f>G166+G176+G179</f>
        <v>22548.1</v>
      </c>
      <c r="H165" s="50">
        <f>H166+H176+H179</f>
        <v>94250.1</v>
      </c>
      <c r="I165" s="50">
        <f>I166+I176+I179</f>
        <v>2220.6</v>
      </c>
      <c r="J165" s="50">
        <f t="shared" si="206"/>
        <v>118696.1</v>
      </c>
      <c r="K165" s="50">
        <f>K166+K176+K179</f>
        <v>22350.5</v>
      </c>
      <c r="L165" s="50">
        <f>L166+L176+L179</f>
        <v>94250.1</v>
      </c>
      <c r="M165" s="50">
        <f>M166+M176+M179</f>
        <v>2095.5</v>
      </c>
      <c r="N165" s="50">
        <f t="shared" si="207"/>
        <v>142214.20000000001</v>
      </c>
      <c r="O165" s="50">
        <f>O166+O176+O179</f>
        <v>21994.799999999999</v>
      </c>
      <c r="P165" s="50">
        <f>P166+P176+P179</f>
        <v>120219.4</v>
      </c>
      <c r="Q165" s="50">
        <f>Q166+Q176+Q179</f>
        <v>0</v>
      </c>
      <c r="R165" s="50">
        <f t="shared" si="208"/>
        <v>239867.5</v>
      </c>
      <c r="S165" s="50">
        <f>S166+S176+S179</f>
        <v>28172.1</v>
      </c>
      <c r="T165" s="50">
        <f>T166+T176+T179</f>
        <v>211695.4</v>
      </c>
      <c r="U165" s="50">
        <f>U166+U176+U179</f>
        <v>0</v>
      </c>
      <c r="V165" s="51">
        <f t="shared" si="181"/>
        <v>0.997</v>
      </c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3"/>
      <c r="BF165" s="3"/>
      <c r="BG165" s="3"/>
      <c r="BH165" s="3"/>
      <c r="BI165" s="3"/>
      <c r="BJ165" s="3"/>
      <c r="BK165" s="3"/>
      <c r="BL165" s="3"/>
      <c r="BM165" s="3"/>
      <c r="BN165" s="3"/>
      <c r="BO165" s="3"/>
      <c r="BP165" s="3"/>
      <c r="BQ165" s="3"/>
      <c r="BR165" s="3"/>
      <c r="BS165" s="3"/>
      <c r="BT165" s="3"/>
      <c r="BU165" s="3"/>
      <c r="BV165" s="3"/>
      <c r="BW165" s="3"/>
      <c r="BX165" s="3"/>
      <c r="BY165" s="3"/>
      <c r="BZ165" s="3"/>
      <c r="CA165" s="3"/>
      <c r="CB165" s="3"/>
      <c r="CC165" s="3"/>
      <c r="CD165" s="3"/>
      <c r="CE165" s="3"/>
      <c r="CF165" s="3"/>
      <c r="CG165" s="3"/>
      <c r="CH165" s="3"/>
      <c r="CI165" s="3"/>
      <c r="CJ165" s="3"/>
      <c r="CK165" s="3"/>
      <c r="CL165" s="3"/>
      <c r="CM165" s="3"/>
      <c r="CN165" s="3"/>
      <c r="CO165" s="3"/>
      <c r="CP165" s="3"/>
      <c r="CQ165" s="3"/>
      <c r="CR165" s="3"/>
      <c r="CS165" s="3"/>
      <c r="CT165" s="3"/>
      <c r="CU165" s="3"/>
      <c r="CV165" s="3"/>
      <c r="CW165" s="3"/>
    </row>
    <row r="166" spans="1:101" ht="46.5" customHeight="1">
      <c r="A166" s="11" t="s">
        <v>113</v>
      </c>
      <c r="B166" s="25" t="s">
        <v>114</v>
      </c>
      <c r="C166" s="39" t="s">
        <v>12</v>
      </c>
      <c r="D166" s="39" t="s">
        <v>12</v>
      </c>
      <c r="E166" s="39" t="s">
        <v>12</v>
      </c>
      <c r="F166" s="28">
        <f t="shared" si="177"/>
        <v>103822.39999999999</v>
      </c>
      <c r="G166" s="28">
        <f>SUM(G168:G175)</f>
        <v>9693.4</v>
      </c>
      <c r="H166" s="28">
        <f>SUM(H168:H175)</f>
        <v>91950.1</v>
      </c>
      <c r="I166" s="28">
        <f>SUM(I168:I175)</f>
        <v>2178.9</v>
      </c>
      <c r="J166" s="28">
        <f t="shared" si="206"/>
        <v>103499.7</v>
      </c>
      <c r="K166" s="28">
        <f>SUM(K168:K175)</f>
        <v>9495.7999999999993</v>
      </c>
      <c r="L166" s="28">
        <f>SUM(L168:L175)</f>
        <v>91950.1</v>
      </c>
      <c r="M166" s="28">
        <f>SUM(M168:M175)</f>
        <v>2053.8000000000002</v>
      </c>
      <c r="N166" s="27">
        <f t="shared" si="207"/>
        <v>121019.9</v>
      </c>
      <c r="O166" s="28">
        <f>SUM(O168:O175)</f>
        <v>7800.5</v>
      </c>
      <c r="P166" s="28">
        <f>SUM(P168:P175)</f>
        <v>113219.4</v>
      </c>
      <c r="Q166" s="28">
        <f>SUM(Q168:Q175)</f>
        <v>0</v>
      </c>
      <c r="R166" s="27">
        <f t="shared" si="208"/>
        <v>224373.2</v>
      </c>
      <c r="S166" s="28">
        <f>SUM(S168:S175)</f>
        <v>13977.8</v>
      </c>
      <c r="T166" s="28">
        <f>SUM(T168:T175)</f>
        <v>210395.4</v>
      </c>
      <c r="U166" s="28">
        <f>SUM(U168:U175)</f>
        <v>0</v>
      </c>
      <c r="V166" s="40">
        <f t="shared" si="181"/>
        <v>0.997</v>
      </c>
    </row>
    <row r="167" spans="1:101" ht="18.75">
      <c r="A167" s="14"/>
      <c r="B167" s="31" t="s">
        <v>15</v>
      </c>
      <c r="C167" s="63"/>
      <c r="D167" s="63"/>
      <c r="E167" s="63"/>
      <c r="F167" s="28"/>
      <c r="G167" s="28"/>
      <c r="H167" s="28"/>
      <c r="I167" s="28"/>
      <c r="J167" s="28"/>
      <c r="K167" s="28"/>
      <c r="L167" s="28"/>
      <c r="M167" s="28"/>
      <c r="N167" s="27"/>
      <c r="O167" s="28"/>
      <c r="P167" s="28"/>
      <c r="Q167" s="28"/>
      <c r="R167" s="27"/>
      <c r="S167" s="28"/>
      <c r="T167" s="28"/>
      <c r="U167" s="28"/>
      <c r="V167" s="40"/>
    </row>
    <row r="168" spans="1:101" ht="36.75" customHeight="1">
      <c r="A168" s="41"/>
      <c r="B168" s="43" t="s">
        <v>185</v>
      </c>
      <c r="C168" s="36">
        <v>821</v>
      </c>
      <c r="D168" s="37" t="s">
        <v>19</v>
      </c>
      <c r="E168" s="36" t="s">
        <v>186</v>
      </c>
      <c r="F168" s="28">
        <f t="shared" si="177"/>
        <v>28772.400000000001</v>
      </c>
      <c r="G168" s="33">
        <f>5027.3-333.9</f>
        <v>4693.3999999999996</v>
      </c>
      <c r="H168" s="33">
        <f>24545.2-1630.1-965</f>
        <v>21950.1</v>
      </c>
      <c r="I168" s="33">
        <v>2128.9</v>
      </c>
      <c r="J168" s="28">
        <f t="shared" ref="J168:J176" si="209">K168+L168+M168</f>
        <v>28449.7</v>
      </c>
      <c r="K168" s="33">
        <f>3936+559.8</f>
        <v>4495.8</v>
      </c>
      <c r="L168" s="33">
        <f>19217.1+2733</f>
        <v>21950.1</v>
      </c>
      <c r="M168" s="33">
        <v>2003.8</v>
      </c>
      <c r="N168" s="28">
        <f t="shared" ref="N168:N176" si="210">O168+P168+Q168</f>
        <v>30224.2</v>
      </c>
      <c r="O168" s="33">
        <v>3929.1</v>
      </c>
      <c r="P168" s="33">
        <v>26295.1</v>
      </c>
      <c r="Q168" s="33"/>
      <c r="R168" s="28">
        <f t="shared" ref="R168:R176" si="211">S168+T168+U168</f>
        <v>72466.399999999994</v>
      </c>
      <c r="S168" s="33">
        <v>9420.6</v>
      </c>
      <c r="T168" s="33">
        <v>63045.8</v>
      </c>
      <c r="U168" s="33"/>
      <c r="V168" s="71">
        <f t="shared" si="181"/>
        <v>0.98899999999999999</v>
      </c>
    </row>
    <row r="169" spans="1:101" ht="44.25" customHeight="1">
      <c r="A169" s="41"/>
      <c r="B169" s="43" t="s">
        <v>284</v>
      </c>
      <c r="C169" s="36">
        <v>821</v>
      </c>
      <c r="D169" s="37" t="s">
        <v>19</v>
      </c>
      <c r="E169" s="36" t="s">
        <v>285</v>
      </c>
      <c r="F169" s="28">
        <f t="shared" si="177"/>
        <v>0</v>
      </c>
      <c r="G169" s="33">
        <f>3512.3-3512.3</f>
        <v>0</v>
      </c>
      <c r="H169" s="33"/>
      <c r="I169" s="33"/>
      <c r="J169" s="28">
        <f t="shared" si="209"/>
        <v>0</v>
      </c>
      <c r="K169" s="33"/>
      <c r="L169" s="33"/>
      <c r="M169" s="33"/>
      <c r="N169" s="28">
        <f t="shared" si="210"/>
        <v>0</v>
      </c>
      <c r="O169" s="33"/>
      <c r="P169" s="33"/>
      <c r="Q169" s="33"/>
      <c r="R169" s="28">
        <f t="shared" si="211"/>
        <v>0</v>
      </c>
      <c r="S169" s="33"/>
      <c r="T169" s="33"/>
      <c r="U169" s="33"/>
      <c r="V169" s="71"/>
    </row>
    <row r="170" spans="1:101" ht="75.75" customHeight="1">
      <c r="A170" s="41"/>
      <c r="B170" s="43" t="s">
        <v>287</v>
      </c>
      <c r="C170" s="36">
        <v>814</v>
      </c>
      <c r="D170" s="37" t="s">
        <v>115</v>
      </c>
      <c r="E170" s="36" t="s">
        <v>286</v>
      </c>
      <c r="F170" s="28">
        <f t="shared" si="177"/>
        <v>0</v>
      </c>
      <c r="G170" s="33"/>
      <c r="H170" s="33"/>
      <c r="I170" s="33"/>
      <c r="J170" s="28">
        <f t="shared" si="209"/>
        <v>0</v>
      </c>
      <c r="K170" s="33"/>
      <c r="L170" s="33"/>
      <c r="M170" s="33"/>
      <c r="N170" s="28">
        <f t="shared" si="210"/>
        <v>22950.9</v>
      </c>
      <c r="O170" s="33">
        <v>1836.1</v>
      </c>
      <c r="P170" s="33">
        <v>21114.799999999999</v>
      </c>
      <c r="Q170" s="33"/>
      <c r="R170" s="28">
        <f t="shared" si="211"/>
        <v>0</v>
      </c>
      <c r="S170" s="33"/>
      <c r="T170" s="33"/>
      <c r="U170" s="33"/>
      <c r="V170" s="71"/>
    </row>
    <row r="171" spans="1:101" ht="56.25" customHeight="1">
      <c r="A171" s="41"/>
      <c r="B171" s="43" t="s">
        <v>289</v>
      </c>
      <c r="C171" s="36">
        <v>814</v>
      </c>
      <c r="D171" s="37" t="s">
        <v>115</v>
      </c>
      <c r="E171" s="36" t="s">
        <v>288</v>
      </c>
      <c r="F171" s="28">
        <f t="shared" si="177"/>
        <v>0</v>
      </c>
      <c r="G171" s="33"/>
      <c r="H171" s="33"/>
      <c r="I171" s="33"/>
      <c r="J171" s="28">
        <f t="shared" si="209"/>
        <v>0</v>
      </c>
      <c r="K171" s="33"/>
      <c r="L171" s="33"/>
      <c r="M171" s="33"/>
      <c r="N171" s="28">
        <f t="shared" si="210"/>
        <v>0</v>
      </c>
      <c r="O171" s="33"/>
      <c r="P171" s="33"/>
      <c r="Q171" s="33"/>
      <c r="R171" s="28">
        <f t="shared" si="211"/>
        <v>18871.900000000001</v>
      </c>
      <c r="S171" s="33">
        <v>566.20000000000005</v>
      </c>
      <c r="T171" s="33">
        <v>18305.7</v>
      </c>
      <c r="U171" s="33"/>
      <c r="V171" s="71"/>
    </row>
    <row r="172" spans="1:101" ht="33.75" customHeight="1">
      <c r="A172" s="41"/>
      <c r="B172" s="43" t="s">
        <v>341</v>
      </c>
      <c r="C172" s="36">
        <v>814</v>
      </c>
      <c r="D172" s="37" t="s">
        <v>115</v>
      </c>
      <c r="E172" s="36" t="s">
        <v>340</v>
      </c>
      <c r="F172" s="28">
        <f t="shared" ref="F172" si="212">G172+H172+I172</f>
        <v>5050</v>
      </c>
      <c r="G172" s="33">
        <v>5000</v>
      </c>
      <c r="H172" s="33"/>
      <c r="I172" s="33">
        <v>50</v>
      </c>
      <c r="J172" s="28">
        <f t="shared" ref="J172" si="213">K172+L172+M172</f>
        <v>5050</v>
      </c>
      <c r="K172" s="33">
        <f>3039.4+1960.6</f>
        <v>5000</v>
      </c>
      <c r="L172" s="33"/>
      <c r="M172" s="33">
        <v>50</v>
      </c>
      <c r="N172" s="28">
        <f t="shared" ref="N172" si="214">O172+P172+Q172</f>
        <v>0</v>
      </c>
      <c r="O172" s="33"/>
      <c r="P172" s="33"/>
      <c r="Q172" s="33"/>
      <c r="R172" s="28">
        <f t="shared" ref="R172" si="215">S172+T172+U172</f>
        <v>0</v>
      </c>
      <c r="S172" s="33"/>
      <c r="T172" s="33"/>
      <c r="U172" s="33"/>
      <c r="V172" s="71">
        <f t="shared" si="181"/>
        <v>1</v>
      </c>
    </row>
    <row r="173" spans="1:101" ht="52.5" customHeight="1">
      <c r="A173" s="41"/>
      <c r="B173" s="43" t="s">
        <v>183</v>
      </c>
      <c r="C173" s="36">
        <v>844</v>
      </c>
      <c r="D173" s="37" t="s">
        <v>182</v>
      </c>
      <c r="E173" s="36" t="s">
        <v>184</v>
      </c>
      <c r="F173" s="28">
        <f t="shared" si="177"/>
        <v>0</v>
      </c>
      <c r="G173" s="33"/>
      <c r="H173" s="33"/>
      <c r="I173" s="33"/>
      <c r="J173" s="28">
        <f t="shared" si="209"/>
        <v>0</v>
      </c>
      <c r="K173" s="33"/>
      <c r="L173" s="33"/>
      <c r="M173" s="33"/>
      <c r="N173" s="28">
        <f t="shared" si="210"/>
        <v>67844.800000000003</v>
      </c>
      <c r="O173" s="33">
        <v>2035.3</v>
      </c>
      <c r="P173" s="33">
        <v>65809.5</v>
      </c>
      <c r="Q173" s="33"/>
      <c r="R173" s="28">
        <f t="shared" si="211"/>
        <v>133034.9</v>
      </c>
      <c r="S173" s="33">
        <v>3991</v>
      </c>
      <c r="T173" s="33">
        <v>129043.9</v>
      </c>
      <c r="U173" s="33"/>
      <c r="V173" s="71"/>
    </row>
    <row r="174" spans="1:101" ht="52.5" customHeight="1">
      <c r="A174" s="41"/>
      <c r="B174" s="43" t="s">
        <v>364</v>
      </c>
      <c r="C174" s="36">
        <v>814</v>
      </c>
      <c r="D174" s="37" t="s">
        <v>115</v>
      </c>
      <c r="E174" s="36" t="s">
        <v>365</v>
      </c>
      <c r="F174" s="28">
        <f t="shared" ref="F174" si="216">G174+H174+I174</f>
        <v>40000</v>
      </c>
      <c r="G174" s="33"/>
      <c r="H174" s="33">
        <v>40000</v>
      </c>
      <c r="I174" s="33"/>
      <c r="J174" s="28">
        <f t="shared" ref="J174" si="217">K174+L174+M174</f>
        <v>40000</v>
      </c>
      <c r="K174" s="33"/>
      <c r="L174" s="33">
        <f>21794.5+18205.5</f>
        <v>40000</v>
      </c>
      <c r="M174" s="33"/>
      <c r="N174" s="28">
        <f t="shared" ref="N174" si="218">O174+P174+Q174</f>
        <v>0</v>
      </c>
      <c r="O174" s="33"/>
      <c r="P174" s="33"/>
      <c r="Q174" s="33"/>
      <c r="R174" s="28">
        <f t="shared" ref="R174" si="219">S174+T174+U174</f>
        <v>0</v>
      </c>
      <c r="S174" s="33"/>
      <c r="T174" s="33"/>
      <c r="U174" s="33"/>
      <c r="V174" s="71">
        <f t="shared" si="181"/>
        <v>1</v>
      </c>
    </row>
    <row r="175" spans="1:101" ht="65.25" customHeight="1">
      <c r="A175" s="41"/>
      <c r="B175" s="43" t="s">
        <v>311</v>
      </c>
      <c r="C175" s="36">
        <v>814</v>
      </c>
      <c r="D175" s="37" t="s">
        <v>115</v>
      </c>
      <c r="E175" s="36" t="s">
        <v>181</v>
      </c>
      <c r="F175" s="28">
        <f t="shared" si="177"/>
        <v>30000</v>
      </c>
      <c r="G175" s="33"/>
      <c r="H175" s="33">
        <v>30000</v>
      </c>
      <c r="I175" s="33"/>
      <c r="J175" s="28">
        <f t="shared" si="209"/>
        <v>30000</v>
      </c>
      <c r="K175" s="33"/>
      <c r="L175" s="33">
        <f>29673.8+326.2</f>
        <v>30000</v>
      </c>
      <c r="M175" s="33"/>
      <c r="N175" s="28">
        <f t="shared" si="210"/>
        <v>0</v>
      </c>
      <c r="O175" s="33"/>
      <c r="P175" s="33"/>
      <c r="Q175" s="33"/>
      <c r="R175" s="28">
        <f t="shared" si="211"/>
        <v>0</v>
      </c>
      <c r="S175" s="33"/>
      <c r="T175" s="33"/>
      <c r="U175" s="33"/>
      <c r="V175" s="71">
        <f t="shared" si="181"/>
        <v>1</v>
      </c>
    </row>
    <row r="176" spans="1:101" ht="26.25" customHeight="1">
      <c r="A176" s="24" t="s">
        <v>116</v>
      </c>
      <c r="B176" s="54" t="s">
        <v>117</v>
      </c>
      <c r="C176" s="70" t="s">
        <v>12</v>
      </c>
      <c r="D176" s="70" t="s">
        <v>12</v>
      </c>
      <c r="E176" s="70" t="s">
        <v>12</v>
      </c>
      <c r="F176" s="28">
        <f t="shared" si="177"/>
        <v>1000</v>
      </c>
      <c r="G176" s="28">
        <f t="shared" ref="G176:H176" si="220">SUM(G178)</f>
        <v>0</v>
      </c>
      <c r="H176" s="28">
        <f t="shared" si="220"/>
        <v>1000</v>
      </c>
      <c r="I176" s="28">
        <f t="shared" ref="I176" si="221">SUM(I178)</f>
        <v>0</v>
      </c>
      <c r="J176" s="28">
        <f t="shared" si="209"/>
        <v>1000</v>
      </c>
      <c r="K176" s="28">
        <f t="shared" ref="K176:M176" si="222">SUM(K178)</f>
        <v>0</v>
      </c>
      <c r="L176" s="28">
        <f t="shared" si="222"/>
        <v>1000</v>
      </c>
      <c r="M176" s="28">
        <f t="shared" si="222"/>
        <v>0</v>
      </c>
      <c r="N176" s="28">
        <f t="shared" si="210"/>
        <v>5700</v>
      </c>
      <c r="O176" s="28">
        <f t="shared" ref="O176:T176" si="223">SUM(O178)</f>
        <v>0</v>
      </c>
      <c r="P176" s="28">
        <f t="shared" si="223"/>
        <v>5700</v>
      </c>
      <c r="Q176" s="28">
        <f t="shared" si="223"/>
        <v>0</v>
      </c>
      <c r="R176" s="28">
        <f t="shared" si="211"/>
        <v>0</v>
      </c>
      <c r="S176" s="28">
        <f t="shared" si="223"/>
        <v>0</v>
      </c>
      <c r="T176" s="28">
        <f t="shared" si="223"/>
        <v>0</v>
      </c>
      <c r="U176" s="28">
        <f t="shared" ref="U176" si="224">SUM(U178)</f>
        <v>0</v>
      </c>
      <c r="V176" s="40">
        <f t="shared" si="181"/>
        <v>1</v>
      </c>
    </row>
    <row r="177" spans="1:101" ht="18.75">
      <c r="A177" s="41"/>
      <c r="B177" s="69" t="s">
        <v>15</v>
      </c>
      <c r="C177" s="32"/>
      <c r="D177" s="44"/>
      <c r="E177" s="32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U177" s="28"/>
      <c r="V177" s="40"/>
    </row>
    <row r="178" spans="1:101" ht="61.5" customHeight="1">
      <c r="A178" s="41"/>
      <c r="B178" s="43" t="s">
        <v>348</v>
      </c>
      <c r="C178" s="36">
        <v>814</v>
      </c>
      <c r="D178" s="37" t="s">
        <v>115</v>
      </c>
      <c r="E178" s="36" t="s">
        <v>187</v>
      </c>
      <c r="F178" s="28">
        <f t="shared" si="177"/>
        <v>1000</v>
      </c>
      <c r="G178" s="33"/>
      <c r="H178" s="33">
        <v>1000</v>
      </c>
      <c r="I178" s="33"/>
      <c r="J178" s="28">
        <f t="shared" ref="J178:J179" si="225">K178+L178+M178</f>
        <v>1000</v>
      </c>
      <c r="K178" s="33"/>
      <c r="L178" s="33">
        <v>1000</v>
      </c>
      <c r="M178" s="33"/>
      <c r="N178" s="28">
        <f t="shared" ref="N178:N179" si="226">O178+P178+Q178</f>
        <v>5700</v>
      </c>
      <c r="O178" s="33"/>
      <c r="P178" s="33">
        <v>5700</v>
      </c>
      <c r="Q178" s="33"/>
      <c r="R178" s="28">
        <f t="shared" ref="R178:R179" si="227">S178+T178+U178</f>
        <v>0</v>
      </c>
      <c r="S178" s="33"/>
      <c r="T178" s="33"/>
      <c r="U178" s="33"/>
      <c r="V178" s="71">
        <f t="shared" si="181"/>
        <v>1</v>
      </c>
    </row>
    <row r="179" spans="1:101" ht="18.75">
      <c r="A179" s="24" t="s">
        <v>258</v>
      </c>
      <c r="B179" s="54" t="s">
        <v>118</v>
      </c>
      <c r="C179" s="70" t="s">
        <v>12</v>
      </c>
      <c r="D179" s="70" t="s">
        <v>12</v>
      </c>
      <c r="E179" s="70" t="s">
        <v>12</v>
      </c>
      <c r="F179" s="28">
        <f t="shared" si="177"/>
        <v>14196.4</v>
      </c>
      <c r="G179" s="28">
        <f>SUM(G181:G183)</f>
        <v>12854.7</v>
      </c>
      <c r="H179" s="28">
        <f>SUM(H181:H183)</f>
        <v>1300</v>
      </c>
      <c r="I179" s="28">
        <f>SUM(I181:I183)</f>
        <v>41.7</v>
      </c>
      <c r="J179" s="28">
        <f t="shared" si="225"/>
        <v>14196.4</v>
      </c>
      <c r="K179" s="28">
        <f>SUM(K181:K183)</f>
        <v>12854.7</v>
      </c>
      <c r="L179" s="28">
        <f>SUM(L181:L183)</f>
        <v>1300</v>
      </c>
      <c r="M179" s="28">
        <f>SUM(M181:M183)</f>
        <v>41.7</v>
      </c>
      <c r="N179" s="28">
        <f t="shared" si="226"/>
        <v>15494.3</v>
      </c>
      <c r="O179" s="28">
        <f>SUM(O181:O183)</f>
        <v>14194.3</v>
      </c>
      <c r="P179" s="28">
        <f>SUM(P181:P183)</f>
        <v>1300</v>
      </c>
      <c r="Q179" s="28">
        <f>SUM(Q181:Q183)</f>
        <v>0</v>
      </c>
      <c r="R179" s="28">
        <f t="shared" si="227"/>
        <v>15494.3</v>
      </c>
      <c r="S179" s="28">
        <f>SUM(S181:S183)</f>
        <v>14194.3</v>
      </c>
      <c r="T179" s="28">
        <f>SUM(T181:T183)</f>
        <v>1300</v>
      </c>
      <c r="U179" s="28">
        <f>SUM(U181:U183)</f>
        <v>0</v>
      </c>
      <c r="V179" s="40">
        <f t="shared" si="181"/>
        <v>1</v>
      </c>
    </row>
    <row r="180" spans="1:101" ht="18.75">
      <c r="A180" s="41"/>
      <c r="B180" s="69" t="s">
        <v>15</v>
      </c>
      <c r="C180" s="32"/>
      <c r="D180" s="44"/>
      <c r="E180" s="32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40"/>
    </row>
    <row r="181" spans="1:101" ht="33">
      <c r="A181" s="41"/>
      <c r="B181" s="43" t="s">
        <v>119</v>
      </c>
      <c r="C181" s="36">
        <v>814</v>
      </c>
      <c r="D181" s="37" t="s">
        <v>115</v>
      </c>
      <c r="E181" s="36" t="s">
        <v>216</v>
      </c>
      <c r="F181" s="28">
        <f t="shared" si="177"/>
        <v>11588.4</v>
      </c>
      <c r="G181" s="33">
        <f>13000-1411.6</f>
        <v>11588.4</v>
      </c>
      <c r="H181" s="33"/>
      <c r="I181" s="33"/>
      <c r="J181" s="28">
        <f t="shared" ref="J181:J185" si="228">K181+L181+M181</f>
        <v>11588.4</v>
      </c>
      <c r="K181" s="33">
        <f>11557.7+30.7</f>
        <v>11588.4</v>
      </c>
      <c r="L181" s="33"/>
      <c r="M181" s="33"/>
      <c r="N181" s="28">
        <f t="shared" ref="N181:N185" si="229">O181+P181+Q181</f>
        <v>13000</v>
      </c>
      <c r="O181" s="33">
        <v>13000</v>
      </c>
      <c r="P181" s="33"/>
      <c r="Q181" s="33"/>
      <c r="R181" s="28">
        <f t="shared" ref="R181:R185" si="230">S181+T181+U181</f>
        <v>13000</v>
      </c>
      <c r="S181" s="33">
        <v>13000</v>
      </c>
      <c r="T181" s="33"/>
      <c r="U181" s="33"/>
      <c r="V181" s="71">
        <f t="shared" si="181"/>
        <v>1</v>
      </c>
    </row>
    <row r="182" spans="1:101" ht="55.5" customHeight="1">
      <c r="A182" s="41"/>
      <c r="B182" s="43" t="s">
        <v>291</v>
      </c>
      <c r="C182" s="36">
        <v>814</v>
      </c>
      <c r="D182" s="37" t="s">
        <v>115</v>
      </c>
      <c r="E182" s="36" t="s">
        <v>290</v>
      </c>
      <c r="F182" s="28">
        <f t="shared" si="177"/>
        <v>1566.3</v>
      </c>
      <c r="G182" s="33">
        <v>266.3</v>
      </c>
      <c r="H182" s="33">
        <v>1300</v>
      </c>
      <c r="I182" s="33"/>
      <c r="J182" s="28">
        <f t="shared" si="228"/>
        <v>1566.3</v>
      </c>
      <c r="K182" s="33">
        <f>41+64.2+104.3+36.3+20.5</f>
        <v>266.3</v>
      </c>
      <c r="L182" s="33">
        <f>200+313.2+509.4+177.4+100</f>
        <v>1300</v>
      </c>
      <c r="M182" s="33"/>
      <c r="N182" s="28">
        <f t="shared" si="229"/>
        <v>1494.3</v>
      </c>
      <c r="O182" s="33">
        <v>194.3</v>
      </c>
      <c r="P182" s="33">
        <v>1300</v>
      </c>
      <c r="Q182" s="33"/>
      <c r="R182" s="28">
        <f t="shared" si="230"/>
        <v>1494.3</v>
      </c>
      <c r="S182" s="33">
        <v>194.3</v>
      </c>
      <c r="T182" s="33">
        <v>1300</v>
      </c>
      <c r="U182" s="33"/>
      <c r="V182" s="71">
        <f t="shared" si="181"/>
        <v>1</v>
      </c>
    </row>
    <row r="183" spans="1:101" ht="77.25" customHeight="1">
      <c r="A183" s="41"/>
      <c r="B183" s="43" t="s">
        <v>218</v>
      </c>
      <c r="C183" s="36">
        <v>814</v>
      </c>
      <c r="D183" s="37" t="s">
        <v>115</v>
      </c>
      <c r="E183" s="36" t="s">
        <v>217</v>
      </c>
      <c r="F183" s="28">
        <f t="shared" si="177"/>
        <v>1041.7</v>
      </c>
      <c r="G183" s="33">
        <v>1000</v>
      </c>
      <c r="H183" s="33"/>
      <c r="I183" s="33">
        <v>41.7</v>
      </c>
      <c r="J183" s="28">
        <f t="shared" si="228"/>
        <v>1041.7</v>
      </c>
      <c r="K183" s="33">
        <f>932.1+67.9</f>
        <v>1000</v>
      </c>
      <c r="L183" s="33"/>
      <c r="M183" s="33">
        <v>41.7</v>
      </c>
      <c r="N183" s="28">
        <f t="shared" si="229"/>
        <v>1000</v>
      </c>
      <c r="O183" s="33">
        <v>1000</v>
      </c>
      <c r="P183" s="33"/>
      <c r="Q183" s="33"/>
      <c r="R183" s="28">
        <f t="shared" si="230"/>
        <v>1000</v>
      </c>
      <c r="S183" s="33">
        <v>1000</v>
      </c>
      <c r="T183" s="33"/>
      <c r="U183" s="33"/>
      <c r="V183" s="71">
        <f t="shared" si="181"/>
        <v>1</v>
      </c>
    </row>
    <row r="184" spans="1:101" s="78" customFormat="1" ht="78.75" customHeight="1">
      <c r="A184" s="19" t="s">
        <v>120</v>
      </c>
      <c r="B184" s="68" t="s">
        <v>121</v>
      </c>
      <c r="C184" s="21" t="s">
        <v>12</v>
      </c>
      <c r="D184" s="21" t="s">
        <v>12</v>
      </c>
      <c r="E184" s="21" t="s">
        <v>12</v>
      </c>
      <c r="F184" s="50">
        <f>F185+F189+F202</f>
        <v>180513.4</v>
      </c>
      <c r="G184" s="50">
        <f>G185+G189+G202</f>
        <v>6405.3</v>
      </c>
      <c r="H184" s="50">
        <f>H185+H189+H202</f>
        <v>174108.1</v>
      </c>
      <c r="I184" s="50">
        <f>I185+I189+I202</f>
        <v>0</v>
      </c>
      <c r="J184" s="50">
        <f t="shared" si="228"/>
        <v>180513.1</v>
      </c>
      <c r="K184" s="50">
        <f>K185+K189+K202</f>
        <v>6405.2</v>
      </c>
      <c r="L184" s="50">
        <f>L185+L189+L202</f>
        <v>174107.9</v>
      </c>
      <c r="M184" s="50">
        <f>M185+M189+M202</f>
        <v>0</v>
      </c>
      <c r="N184" s="50">
        <f t="shared" si="229"/>
        <v>188719.5</v>
      </c>
      <c r="O184" s="50">
        <f>O185+O189+O202</f>
        <v>6651.5</v>
      </c>
      <c r="P184" s="50">
        <f>P185+P189+P202</f>
        <v>182068</v>
      </c>
      <c r="Q184" s="50">
        <f>Q185+Q189+Q202</f>
        <v>0</v>
      </c>
      <c r="R184" s="50">
        <f t="shared" si="230"/>
        <v>456375.6</v>
      </c>
      <c r="S184" s="50">
        <f>S185+S189+S202</f>
        <v>14681.2</v>
      </c>
      <c r="T184" s="50">
        <f>T185+T189+T202</f>
        <v>441694.4</v>
      </c>
      <c r="U184" s="50">
        <f>U185+U189+U202</f>
        <v>0</v>
      </c>
      <c r="V184" s="51">
        <f t="shared" ref="V184:V214" si="231">J184/F184</f>
        <v>1</v>
      </c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  <c r="BB184" s="3"/>
      <c r="BC184" s="3"/>
      <c r="BD184" s="3"/>
      <c r="BE184" s="3"/>
      <c r="BF184" s="3"/>
      <c r="BG184" s="3"/>
      <c r="BH184" s="3"/>
      <c r="BI184" s="3"/>
      <c r="BJ184" s="3"/>
      <c r="BK184" s="3"/>
      <c r="BL184" s="3"/>
      <c r="BM184" s="3"/>
      <c r="BN184" s="3"/>
      <c r="BO184" s="3"/>
      <c r="BP184" s="3"/>
      <c r="BQ184" s="3"/>
      <c r="BR184" s="3"/>
      <c r="BS184" s="3"/>
      <c r="BT184" s="3"/>
      <c r="BU184" s="3"/>
      <c r="BV184" s="3"/>
      <c r="BW184" s="3"/>
      <c r="BX184" s="3"/>
      <c r="BY184" s="3"/>
      <c r="BZ184" s="3"/>
      <c r="CA184" s="3"/>
      <c r="CB184" s="3"/>
      <c r="CC184" s="3"/>
      <c r="CD184" s="3"/>
      <c r="CE184" s="3"/>
      <c r="CF184" s="3"/>
      <c r="CG184" s="3"/>
      <c r="CH184" s="3"/>
      <c r="CI184" s="3"/>
      <c r="CJ184" s="3"/>
      <c r="CK184" s="3"/>
      <c r="CL184" s="3"/>
      <c r="CM184" s="3"/>
      <c r="CN184" s="3"/>
      <c r="CO184" s="3"/>
      <c r="CP184" s="3"/>
      <c r="CQ184" s="3"/>
      <c r="CR184" s="3"/>
      <c r="CS184" s="3"/>
      <c r="CT184" s="3"/>
      <c r="CU184" s="3"/>
      <c r="CV184" s="3"/>
      <c r="CW184" s="3"/>
    </row>
    <row r="185" spans="1:101" ht="75" customHeight="1">
      <c r="A185" s="11" t="s">
        <v>122</v>
      </c>
      <c r="B185" s="25" t="s">
        <v>343</v>
      </c>
      <c r="C185" s="39" t="s">
        <v>12</v>
      </c>
      <c r="D185" s="39" t="s">
        <v>12</v>
      </c>
      <c r="E185" s="39" t="s">
        <v>12</v>
      </c>
      <c r="F185" s="27">
        <f t="shared" ref="F185:F214" si="232">G185+H185+I185</f>
        <v>33454.5</v>
      </c>
      <c r="G185" s="28">
        <f>SUM(G187:G188)</f>
        <v>1003.6</v>
      </c>
      <c r="H185" s="28">
        <f>SUM(H187:H188)</f>
        <v>32450.9</v>
      </c>
      <c r="I185" s="28">
        <f>SUM(I187:I188)</f>
        <v>0</v>
      </c>
      <c r="J185" s="27">
        <f t="shared" si="228"/>
        <v>33454.400000000001</v>
      </c>
      <c r="K185" s="28">
        <f>SUM(K187:K188)</f>
        <v>1003.6</v>
      </c>
      <c r="L185" s="28">
        <f>SUM(L187:L188)</f>
        <v>32450.799999999999</v>
      </c>
      <c r="M185" s="28">
        <f>SUM(M187:M188)</f>
        <v>0</v>
      </c>
      <c r="N185" s="27">
        <f t="shared" si="229"/>
        <v>68390.7</v>
      </c>
      <c r="O185" s="28">
        <f>SUM(O187:O188)</f>
        <v>2051.6999999999998</v>
      </c>
      <c r="P185" s="28">
        <f>SUM(P187:P188)</f>
        <v>66339</v>
      </c>
      <c r="Q185" s="28">
        <f>SUM(Q187:Q188)</f>
        <v>0</v>
      </c>
      <c r="R185" s="27">
        <f t="shared" si="230"/>
        <v>85523.4</v>
      </c>
      <c r="S185" s="28">
        <f>SUM(S187:S188)</f>
        <v>2565.6</v>
      </c>
      <c r="T185" s="28">
        <f>SUM(T187:T188)</f>
        <v>82957.8</v>
      </c>
      <c r="U185" s="28">
        <f>SUM(U187:U188)</f>
        <v>0</v>
      </c>
      <c r="V185" s="29">
        <f t="shared" si="231"/>
        <v>1</v>
      </c>
    </row>
    <row r="186" spans="1:101" ht="18.75">
      <c r="A186" s="14"/>
      <c r="B186" s="73" t="s">
        <v>15</v>
      </c>
      <c r="C186" s="63"/>
      <c r="D186" s="63"/>
      <c r="E186" s="63"/>
      <c r="F186" s="28"/>
      <c r="G186" s="28"/>
      <c r="H186" s="28"/>
      <c r="I186" s="28"/>
      <c r="J186" s="28"/>
      <c r="K186" s="28"/>
      <c r="L186" s="28"/>
      <c r="M186" s="28"/>
      <c r="N186" s="27"/>
      <c r="O186" s="28"/>
      <c r="P186" s="28"/>
      <c r="Q186" s="28"/>
      <c r="R186" s="27"/>
      <c r="S186" s="28"/>
      <c r="T186" s="28"/>
      <c r="U186" s="28"/>
      <c r="V186" s="40"/>
    </row>
    <row r="187" spans="1:101" ht="66.75" customHeight="1">
      <c r="A187" s="55"/>
      <c r="B187" s="56" t="s">
        <v>342</v>
      </c>
      <c r="C187" s="57">
        <v>840</v>
      </c>
      <c r="D187" s="58" t="s">
        <v>74</v>
      </c>
      <c r="E187" s="57" t="s">
        <v>137</v>
      </c>
      <c r="F187" s="80">
        <f t="shared" si="232"/>
        <v>12543.7</v>
      </c>
      <c r="G187" s="59">
        <f>1321.7+0.03-393.9-551.5</f>
        <v>376.3</v>
      </c>
      <c r="H187" s="59">
        <f>42736-12736-17832.6</f>
        <v>12167.4</v>
      </c>
      <c r="I187" s="59"/>
      <c r="J187" s="80">
        <f t="shared" ref="J187:J189" si="233">K187+L187+M187</f>
        <v>12543.6</v>
      </c>
      <c r="K187" s="59">
        <f>256.3+120</f>
        <v>376.3</v>
      </c>
      <c r="L187" s="59">
        <f>8287.31+3880</f>
        <v>12167.3</v>
      </c>
      <c r="M187" s="59"/>
      <c r="N187" s="80">
        <f t="shared" ref="N187:N189" si="234">O187+P187+Q187</f>
        <v>59252.5</v>
      </c>
      <c r="O187" s="59">
        <v>1777.6</v>
      </c>
      <c r="P187" s="59">
        <v>57474.9</v>
      </c>
      <c r="Q187" s="59"/>
      <c r="R187" s="80">
        <f t="shared" ref="R187:R189" si="235">S187+T187+U187</f>
        <v>71408.2</v>
      </c>
      <c r="S187" s="59">
        <v>2142.1999999999998</v>
      </c>
      <c r="T187" s="59">
        <v>69266</v>
      </c>
      <c r="U187" s="59"/>
      <c r="V187" s="81">
        <f t="shared" si="231"/>
        <v>1</v>
      </c>
    </row>
    <row r="188" spans="1:101" ht="104.25" customHeight="1">
      <c r="A188" s="55"/>
      <c r="B188" s="56" t="s">
        <v>266</v>
      </c>
      <c r="C188" s="57">
        <v>840</v>
      </c>
      <c r="D188" s="58" t="s">
        <v>74</v>
      </c>
      <c r="E188" s="57" t="s">
        <v>267</v>
      </c>
      <c r="F188" s="80">
        <f t="shared" si="232"/>
        <v>20910.8</v>
      </c>
      <c r="G188" s="59">
        <f>233.4+0.03+393.9</f>
        <v>627.29999999999995</v>
      </c>
      <c r="H188" s="59">
        <f>7547.5+12736</f>
        <v>20283.5</v>
      </c>
      <c r="I188" s="59"/>
      <c r="J188" s="80">
        <f t="shared" si="233"/>
        <v>20910.8</v>
      </c>
      <c r="K188" s="59">
        <f>593.6+33.7</f>
        <v>627.29999999999995</v>
      </c>
      <c r="L188" s="59">
        <f>19191.8+1091.7</f>
        <v>20283.5</v>
      </c>
      <c r="M188" s="59"/>
      <c r="N188" s="80">
        <f t="shared" si="234"/>
        <v>9138.2000000000007</v>
      </c>
      <c r="O188" s="59">
        <v>274.10000000000002</v>
      </c>
      <c r="P188" s="59">
        <v>8864.1</v>
      </c>
      <c r="Q188" s="59"/>
      <c r="R188" s="80">
        <f t="shared" si="235"/>
        <v>14115.2</v>
      </c>
      <c r="S188" s="59">
        <v>423.4</v>
      </c>
      <c r="T188" s="59">
        <v>13691.8</v>
      </c>
      <c r="U188" s="59"/>
      <c r="V188" s="81">
        <f t="shared" si="231"/>
        <v>1</v>
      </c>
    </row>
    <row r="189" spans="1:101" ht="42" customHeight="1">
      <c r="A189" s="11" t="s">
        <v>123</v>
      </c>
      <c r="B189" s="25" t="s">
        <v>124</v>
      </c>
      <c r="C189" s="39" t="s">
        <v>12</v>
      </c>
      <c r="D189" s="39" t="s">
        <v>12</v>
      </c>
      <c r="E189" s="39" t="s">
        <v>12</v>
      </c>
      <c r="F189" s="27">
        <f>G189+H189+I189</f>
        <v>143793.60000000001</v>
      </c>
      <c r="G189" s="28">
        <f>SUM(G191:G201)</f>
        <v>5303.7</v>
      </c>
      <c r="H189" s="28">
        <f>SUM(H191:H201)</f>
        <v>138489.9</v>
      </c>
      <c r="I189" s="28">
        <f>SUM(I191:I201)</f>
        <v>0</v>
      </c>
      <c r="J189" s="28">
        <f t="shared" si="233"/>
        <v>143793.4</v>
      </c>
      <c r="K189" s="28">
        <f>SUM(K191:K201)</f>
        <v>5303.6</v>
      </c>
      <c r="L189" s="28">
        <f t="shared" ref="L189:M189" si="236">SUM(L191:L201)</f>
        <v>138489.79999999999</v>
      </c>
      <c r="M189" s="28">
        <f t="shared" si="236"/>
        <v>0</v>
      </c>
      <c r="N189" s="27">
        <f t="shared" si="234"/>
        <v>115245.3</v>
      </c>
      <c r="O189" s="28">
        <f>SUM(O191:O201)</f>
        <v>4447.3</v>
      </c>
      <c r="P189" s="28">
        <f>SUM(P191:P201)</f>
        <v>110798</v>
      </c>
      <c r="Q189" s="28">
        <f>SUM(Q191:Q201)</f>
        <v>0</v>
      </c>
      <c r="R189" s="27">
        <f t="shared" si="235"/>
        <v>364678.9</v>
      </c>
      <c r="S189" s="28">
        <f>SUM(S191:S201)</f>
        <v>11930.4</v>
      </c>
      <c r="T189" s="28">
        <f>SUM(T191:T201)</f>
        <v>352748.5</v>
      </c>
      <c r="U189" s="28">
        <f>SUM(U191:U201)</f>
        <v>0</v>
      </c>
      <c r="V189" s="29">
        <f t="shared" si="231"/>
        <v>1</v>
      </c>
    </row>
    <row r="190" spans="1:101" ht="18.75">
      <c r="A190" s="14"/>
      <c r="B190" s="73" t="s">
        <v>15</v>
      </c>
      <c r="C190" s="63"/>
      <c r="D190" s="63"/>
      <c r="E190" s="63"/>
      <c r="F190" s="28"/>
      <c r="G190" s="28"/>
      <c r="H190" s="28"/>
      <c r="I190" s="28"/>
      <c r="J190" s="28"/>
      <c r="K190" s="28"/>
      <c r="L190" s="28"/>
      <c r="M190" s="28"/>
      <c r="N190" s="27"/>
      <c r="O190" s="28"/>
      <c r="P190" s="28"/>
      <c r="Q190" s="28"/>
      <c r="R190" s="27"/>
      <c r="S190" s="28"/>
      <c r="T190" s="28"/>
      <c r="U190" s="28"/>
      <c r="V190" s="40"/>
    </row>
    <row r="191" spans="1:101" ht="52.5" customHeight="1">
      <c r="A191" s="41"/>
      <c r="B191" s="43" t="s">
        <v>349</v>
      </c>
      <c r="C191" s="57">
        <v>817</v>
      </c>
      <c r="D191" s="58" t="s">
        <v>126</v>
      </c>
      <c r="E191" s="36" t="s">
        <v>338</v>
      </c>
      <c r="F191" s="28">
        <f t="shared" ref="F191" si="237">G191+H191+I191</f>
        <v>52113.599999999999</v>
      </c>
      <c r="G191" s="33">
        <f>1563.7-0.35</f>
        <v>1563.4</v>
      </c>
      <c r="H191" s="33">
        <f>50561.4-11.2</f>
        <v>50550.2</v>
      </c>
      <c r="I191" s="33"/>
      <c r="J191" s="28">
        <f t="shared" ref="J191" si="238">K191+L191+M191</f>
        <v>52113.5</v>
      </c>
      <c r="K191" s="33">
        <v>1563.4</v>
      </c>
      <c r="L191" s="33">
        <v>50550.1</v>
      </c>
      <c r="M191" s="33"/>
      <c r="N191" s="28">
        <f t="shared" ref="N191" si="239">O191+P191+Q191</f>
        <v>32564.6</v>
      </c>
      <c r="O191" s="33">
        <v>976.9</v>
      </c>
      <c r="P191" s="33">
        <v>31587.7</v>
      </c>
      <c r="Q191" s="33"/>
      <c r="R191" s="28">
        <f t="shared" ref="R191" si="240">S191+T191+U191</f>
        <v>45630.3</v>
      </c>
      <c r="S191" s="33">
        <v>1368.9</v>
      </c>
      <c r="T191" s="33">
        <v>44261.4</v>
      </c>
      <c r="U191" s="33"/>
      <c r="V191" s="71">
        <f t="shared" ref="V191" si="241">J191/F191</f>
        <v>1</v>
      </c>
    </row>
    <row r="192" spans="1:101" ht="55.5" customHeight="1">
      <c r="A192" s="41"/>
      <c r="B192" s="43" t="s">
        <v>275</v>
      </c>
      <c r="C192" s="57">
        <v>817</v>
      </c>
      <c r="D192" s="58" t="s">
        <v>126</v>
      </c>
      <c r="E192" s="36" t="s">
        <v>276</v>
      </c>
      <c r="F192" s="28">
        <f t="shared" si="232"/>
        <v>0</v>
      </c>
      <c r="G192" s="33">
        <f>1164.5-1164.5</f>
        <v>0</v>
      </c>
      <c r="H192" s="33">
        <f>37653.5-37653.5</f>
        <v>0</v>
      </c>
      <c r="I192" s="33"/>
      <c r="J192" s="28">
        <f t="shared" ref="J192:J201" si="242">K192+L192+M192</f>
        <v>0</v>
      </c>
      <c r="K192" s="33"/>
      <c r="L192" s="33"/>
      <c r="M192" s="33"/>
      <c r="N192" s="28">
        <f t="shared" ref="N192:N201" si="243">O192+P192+Q192</f>
        <v>0</v>
      </c>
      <c r="O192" s="33">
        <f>677.8-677.8</f>
        <v>0</v>
      </c>
      <c r="P192" s="33">
        <f>21915.4-21915.4</f>
        <v>0</v>
      </c>
      <c r="Q192" s="33"/>
      <c r="R192" s="28">
        <f t="shared" ref="R192:R201" si="244">S192+T192+U192</f>
        <v>0</v>
      </c>
      <c r="S192" s="33">
        <f>862.2-862.2</f>
        <v>0</v>
      </c>
      <c r="T192" s="33">
        <f>27879.05-27879.05</f>
        <v>0</v>
      </c>
      <c r="U192" s="33"/>
      <c r="V192" s="71">
        <v>0</v>
      </c>
      <c r="X192" s="18"/>
    </row>
    <row r="193" spans="1:101" ht="67.5" customHeight="1">
      <c r="A193" s="41"/>
      <c r="B193" s="43" t="s">
        <v>127</v>
      </c>
      <c r="C193" s="57">
        <v>817</v>
      </c>
      <c r="D193" s="58" t="s">
        <v>126</v>
      </c>
      <c r="E193" s="36" t="s">
        <v>277</v>
      </c>
      <c r="F193" s="28">
        <f t="shared" si="232"/>
        <v>0</v>
      </c>
      <c r="G193" s="33">
        <f>92.8-92.8</f>
        <v>0</v>
      </c>
      <c r="H193" s="33">
        <f>3000-3000</f>
        <v>0</v>
      </c>
      <c r="I193" s="33"/>
      <c r="J193" s="28">
        <f t="shared" si="242"/>
        <v>0</v>
      </c>
      <c r="K193" s="33"/>
      <c r="L193" s="33"/>
      <c r="M193" s="33"/>
      <c r="N193" s="28">
        <f t="shared" si="243"/>
        <v>0</v>
      </c>
      <c r="O193" s="33">
        <f>92.8-92.8</f>
        <v>0</v>
      </c>
      <c r="P193" s="33">
        <f>3000-3000</f>
        <v>0</v>
      </c>
      <c r="Q193" s="33"/>
      <c r="R193" s="28">
        <f t="shared" si="244"/>
        <v>0</v>
      </c>
      <c r="S193" s="33">
        <f>92.8-92.8</f>
        <v>0</v>
      </c>
      <c r="T193" s="33">
        <f>3000-3000</f>
        <v>0</v>
      </c>
      <c r="U193" s="33"/>
      <c r="V193" s="71">
        <v>0</v>
      </c>
    </row>
    <row r="194" spans="1:101" ht="46.5" customHeight="1">
      <c r="A194" s="41"/>
      <c r="B194" s="43" t="s">
        <v>142</v>
      </c>
      <c r="C194" s="57">
        <v>817</v>
      </c>
      <c r="D194" s="58" t="s">
        <v>126</v>
      </c>
      <c r="E194" s="36" t="s">
        <v>278</v>
      </c>
      <c r="F194" s="28">
        <f t="shared" si="232"/>
        <v>0</v>
      </c>
      <c r="G194" s="33">
        <f>306.4-306.4</f>
        <v>0</v>
      </c>
      <c r="H194" s="33">
        <f>9907.85-9907.85</f>
        <v>0</v>
      </c>
      <c r="I194" s="33"/>
      <c r="J194" s="28">
        <f t="shared" si="242"/>
        <v>0</v>
      </c>
      <c r="K194" s="33"/>
      <c r="L194" s="33"/>
      <c r="M194" s="33"/>
      <c r="N194" s="28">
        <f t="shared" si="243"/>
        <v>0</v>
      </c>
      <c r="O194" s="33">
        <f>206.36-206.36</f>
        <v>0</v>
      </c>
      <c r="P194" s="33">
        <f>6672.3-6672.3</f>
        <v>0</v>
      </c>
      <c r="Q194" s="33"/>
      <c r="R194" s="28">
        <f t="shared" si="244"/>
        <v>0</v>
      </c>
      <c r="S194" s="33">
        <f>413.9-413.9</f>
        <v>0</v>
      </c>
      <c r="T194" s="33">
        <f>13382.35-13382.35</f>
        <v>0</v>
      </c>
      <c r="U194" s="33"/>
      <c r="V194" s="71">
        <v>0</v>
      </c>
    </row>
    <row r="195" spans="1:101" ht="67.5" customHeight="1">
      <c r="A195" s="41"/>
      <c r="B195" s="43" t="s">
        <v>127</v>
      </c>
      <c r="C195" s="57">
        <v>817</v>
      </c>
      <c r="D195" s="58" t="s">
        <v>126</v>
      </c>
      <c r="E195" s="36" t="s">
        <v>279</v>
      </c>
      <c r="F195" s="28">
        <f t="shared" si="232"/>
        <v>1020.5</v>
      </c>
      <c r="G195" s="33">
        <v>1020.5</v>
      </c>
      <c r="H195" s="33">
        <v>0</v>
      </c>
      <c r="I195" s="33"/>
      <c r="J195" s="28">
        <f t="shared" si="242"/>
        <v>1020.5</v>
      </c>
      <c r="K195" s="33">
        <f>850.5+170</f>
        <v>1020.5</v>
      </c>
      <c r="L195" s="33"/>
      <c r="M195" s="33"/>
      <c r="N195" s="28">
        <f t="shared" si="243"/>
        <v>1020.6</v>
      </c>
      <c r="O195" s="33">
        <v>1020.6</v>
      </c>
      <c r="P195" s="33">
        <v>0</v>
      </c>
      <c r="Q195" s="33"/>
      <c r="R195" s="28">
        <f t="shared" si="244"/>
        <v>1020.6</v>
      </c>
      <c r="S195" s="33">
        <v>1020.6</v>
      </c>
      <c r="T195" s="33">
        <v>0</v>
      </c>
      <c r="U195" s="33"/>
      <c r="V195" s="71">
        <f t="shared" si="231"/>
        <v>1</v>
      </c>
    </row>
    <row r="196" spans="1:101" ht="73.5" customHeight="1">
      <c r="A196" s="41"/>
      <c r="B196" s="43" t="s">
        <v>268</v>
      </c>
      <c r="C196" s="57">
        <v>840</v>
      </c>
      <c r="D196" s="58" t="s">
        <v>74</v>
      </c>
      <c r="E196" s="36" t="s">
        <v>269</v>
      </c>
      <c r="F196" s="28">
        <f t="shared" si="232"/>
        <v>30089.200000000001</v>
      </c>
      <c r="G196" s="33">
        <f>902.7+0.02</f>
        <v>902.7</v>
      </c>
      <c r="H196" s="33">
        <v>29186.5</v>
      </c>
      <c r="I196" s="33"/>
      <c r="J196" s="28">
        <f t="shared" si="242"/>
        <v>30089.200000000001</v>
      </c>
      <c r="K196" s="33">
        <v>902.7</v>
      </c>
      <c r="L196" s="33">
        <v>29186.5</v>
      </c>
      <c r="M196" s="33"/>
      <c r="N196" s="28">
        <f t="shared" si="243"/>
        <v>13927</v>
      </c>
      <c r="O196" s="33">
        <v>417.8</v>
      </c>
      <c r="P196" s="33">
        <v>13509.2</v>
      </c>
      <c r="Q196" s="33"/>
      <c r="R196" s="28">
        <f t="shared" si="244"/>
        <v>30375.7</v>
      </c>
      <c r="S196" s="33">
        <v>911.3</v>
      </c>
      <c r="T196" s="33">
        <v>29464.400000000001</v>
      </c>
      <c r="U196" s="33"/>
      <c r="V196" s="71">
        <f t="shared" si="231"/>
        <v>1</v>
      </c>
    </row>
    <row r="197" spans="1:101" ht="72" customHeight="1">
      <c r="A197" s="41"/>
      <c r="B197" s="43" t="s">
        <v>270</v>
      </c>
      <c r="C197" s="57">
        <v>840</v>
      </c>
      <c r="D197" s="58" t="s">
        <v>74</v>
      </c>
      <c r="E197" s="36" t="s">
        <v>271</v>
      </c>
      <c r="F197" s="28">
        <f t="shared" si="232"/>
        <v>0</v>
      </c>
      <c r="G197" s="33">
        <f>1173.1-1173.1</f>
        <v>0</v>
      </c>
      <c r="H197" s="33"/>
      <c r="I197" s="33"/>
      <c r="J197" s="28">
        <f t="shared" si="242"/>
        <v>0</v>
      </c>
      <c r="K197" s="33"/>
      <c r="L197" s="33"/>
      <c r="M197" s="33"/>
      <c r="N197" s="28">
        <f t="shared" si="243"/>
        <v>46267.8</v>
      </c>
      <c r="O197" s="33">
        <v>1388</v>
      </c>
      <c r="P197" s="33">
        <v>44879.8</v>
      </c>
      <c r="Q197" s="33"/>
      <c r="R197" s="28">
        <f t="shared" si="244"/>
        <v>85774.6</v>
      </c>
      <c r="S197" s="33">
        <v>2573.1999999999998</v>
      </c>
      <c r="T197" s="33">
        <v>83201.399999999994</v>
      </c>
      <c r="U197" s="33"/>
      <c r="V197" s="71">
        <v>0</v>
      </c>
    </row>
    <row r="198" spans="1:101" ht="60.75" customHeight="1">
      <c r="A198" s="41"/>
      <c r="B198" s="43" t="s">
        <v>270</v>
      </c>
      <c r="C198" s="57">
        <v>801</v>
      </c>
      <c r="D198" s="58" t="s">
        <v>337</v>
      </c>
      <c r="E198" s="36" t="s">
        <v>271</v>
      </c>
      <c r="F198" s="28">
        <f t="shared" ref="F198" si="245">G198+H198+I198</f>
        <v>39105</v>
      </c>
      <c r="G198" s="33">
        <v>1173.0999999999999</v>
      </c>
      <c r="H198" s="33">
        <v>37931.9</v>
      </c>
      <c r="I198" s="33"/>
      <c r="J198" s="28">
        <f t="shared" ref="J198" si="246">K198+L198+M198</f>
        <v>39105</v>
      </c>
      <c r="K198" s="33">
        <v>1173.0999999999999</v>
      </c>
      <c r="L198" s="33">
        <v>37931.9</v>
      </c>
      <c r="M198" s="33"/>
      <c r="N198" s="28">
        <f t="shared" ref="N198" si="247">O198+P198+Q198</f>
        <v>0</v>
      </c>
      <c r="O198" s="33"/>
      <c r="P198" s="33"/>
      <c r="Q198" s="33"/>
      <c r="R198" s="28">
        <f t="shared" ref="R198" si="248">S198+T198+U198</f>
        <v>0</v>
      </c>
      <c r="S198" s="33"/>
      <c r="T198" s="33"/>
      <c r="U198" s="33"/>
      <c r="V198" s="71">
        <f t="shared" ref="V198" si="249">J198/F198</f>
        <v>1</v>
      </c>
    </row>
    <row r="199" spans="1:101" ht="73.5" customHeight="1">
      <c r="A199" s="41"/>
      <c r="B199" s="43" t="s">
        <v>272</v>
      </c>
      <c r="C199" s="57">
        <v>840</v>
      </c>
      <c r="D199" s="58" t="s">
        <v>74</v>
      </c>
      <c r="E199" s="36" t="s">
        <v>273</v>
      </c>
      <c r="F199" s="28">
        <f t="shared" si="232"/>
        <v>0</v>
      </c>
      <c r="G199" s="33"/>
      <c r="H199" s="33"/>
      <c r="I199" s="33"/>
      <c r="J199" s="28">
        <f t="shared" si="242"/>
        <v>0</v>
      </c>
      <c r="K199" s="33"/>
      <c r="L199" s="33"/>
      <c r="M199" s="33"/>
      <c r="N199" s="28">
        <f t="shared" si="243"/>
        <v>0</v>
      </c>
      <c r="O199" s="33"/>
      <c r="P199" s="33"/>
      <c r="Q199" s="33"/>
      <c r="R199" s="28">
        <f t="shared" si="244"/>
        <v>180412.4</v>
      </c>
      <c r="S199" s="33">
        <v>5412.4</v>
      </c>
      <c r="T199" s="33">
        <v>175000</v>
      </c>
      <c r="U199" s="33"/>
      <c r="V199" s="71">
        <v>0</v>
      </c>
    </row>
    <row r="200" spans="1:101" ht="98.25" customHeight="1">
      <c r="A200" s="41"/>
      <c r="B200" s="43" t="s">
        <v>139</v>
      </c>
      <c r="C200" s="36">
        <v>840</v>
      </c>
      <c r="D200" s="37" t="s">
        <v>74</v>
      </c>
      <c r="E200" s="36" t="s">
        <v>138</v>
      </c>
      <c r="F200" s="28">
        <f t="shared" si="232"/>
        <v>2577.4</v>
      </c>
      <c r="G200" s="33">
        <f>108.3-30.9</f>
        <v>77.400000000000006</v>
      </c>
      <c r="H200" s="33">
        <f>3500-1000</f>
        <v>2500</v>
      </c>
      <c r="I200" s="33"/>
      <c r="J200" s="28">
        <f t="shared" si="242"/>
        <v>2577.3000000000002</v>
      </c>
      <c r="K200" s="33">
        <v>77.3</v>
      </c>
      <c r="L200" s="33">
        <v>2500</v>
      </c>
      <c r="M200" s="33"/>
      <c r="N200" s="28">
        <f t="shared" si="243"/>
        <v>0</v>
      </c>
      <c r="O200" s="33"/>
      <c r="P200" s="33"/>
      <c r="Q200" s="33"/>
      <c r="R200" s="28">
        <f t="shared" si="244"/>
        <v>0</v>
      </c>
      <c r="S200" s="33"/>
      <c r="T200" s="33"/>
      <c r="U200" s="33"/>
      <c r="V200" s="71">
        <f t="shared" si="231"/>
        <v>1</v>
      </c>
    </row>
    <row r="201" spans="1:101" ht="72" customHeight="1">
      <c r="A201" s="41"/>
      <c r="B201" s="43" t="s">
        <v>306</v>
      </c>
      <c r="C201" s="36">
        <v>840</v>
      </c>
      <c r="D201" s="37" t="s">
        <v>74</v>
      </c>
      <c r="E201" s="36" t="s">
        <v>238</v>
      </c>
      <c r="F201" s="28">
        <f t="shared" si="232"/>
        <v>18887.900000000001</v>
      </c>
      <c r="G201" s="33">
        <f>535.7+0.01+30.9</f>
        <v>566.6</v>
      </c>
      <c r="H201" s="33">
        <f>17321.3+1000</f>
        <v>18321.3</v>
      </c>
      <c r="I201" s="33"/>
      <c r="J201" s="28">
        <f t="shared" si="242"/>
        <v>18887.900000000001</v>
      </c>
      <c r="K201" s="33">
        <v>566.6</v>
      </c>
      <c r="L201" s="33">
        <v>18321.3</v>
      </c>
      <c r="M201" s="33"/>
      <c r="N201" s="28">
        <f t="shared" si="243"/>
        <v>21465.3</v>
      </c>
      <c r="O201" s="33">
        <v>644</v>
      </c>
      <c r="P201" s="33">
        <v>20821.3</v>
      </c>
      <c r="Q201" s="33"/>
      <c r="R201" s="28">
        <f t="shared" si="244"/>
        <v>21465.3</v>
      </c>
      <c r="S201" s="33">
        <v>644</v>
      </c>
      <c r="T201" s="33">
        <v>20821.3</v>
      </c>
      <c r="U201" s="33"/>
      <c r="V201" s="71">
        <f t="shared" si="231"/>
        <v>1</v>
      </c>
    </row>
    <row r="202" spans="1:101" ht="58.5" customHeight="1">
      <c r="A202" s="11" t="s">
        <v>125</v>
      </c>
      <c r="B202" s="25" t="s">
        <v>264</v>
      </c>
      <c r="C202" s="39" t="s">
        <v>12</v>
      </c>
      <c r="D202" s="82" t="s">
        <v>12</v>
      </c>
      <c r="E202" s="39" t="s">
        <v>12</v>
      </c>
      <c r="F202" s="27">
        <f t="shared" si="232"/>
        <v>3265.3</v>
      </c>
      <c r="G202" s="28">
        <f t="shared" ref="G202:T202" si="250">G204</f>
        <v>98</v>
      </c>
      <c r="H202" s="28">
        <f t="shared" si="250"/>
        <v>3167.3</v>
      </c>
      <c r="I202" s="28">
        <f t="shared" ref="I202" si="251">I204</f>
        <v>0</v>
      </c>
      <c r="J202" s="27">
        <f t="shared" ref="J202" si="252">K202+L202+M202</f>
        <v>3265.3</v>
      </c>
      <c r="K202" s="28">
        <f t="shared" ref="K202:M202" si="253">K204</f>
        <v>98</v>
      </c>
      <c r="L202" s="28">
        <f t="shared" si="253"/>
        <v>3167.3</v>
      </c>
      <c r="M202" s="28">
        <f t="shared" si="253"/>
        <v>0</v>
      </c>
      <c r="N202" s="27">
        <f t="shared" ref="N202" si="254">O202+P202+Q202</f>
        <v>5083.5</v>
      </c>
      <c r="O202" s="28">
        <f t="shared" si="250"/>
        <v>152.5</v>
      </c>
      <c r="P202" s="28">
        <f t="shared" si="250"/>
        <v>4931</v>
      </c>
      <c r="Q202" s="28">
        <f t="shared" si="250"/>
        <v>0</v>
      </c>
      <c r="R202" s="27">
        <f t="shared" ref="R202" si="255">S202+T202+U202</f>
        <v>6173.3</v>
      </c>
      <c r="S202" s="28">
        <f t="shared" si="250"/>
        <v>185.2</v>
      </c>
      <c r="T202" s="28">
        <f t="shared" si="250"/>
        <v>5988.1</v>
      </c>
      <c r="U202" s="28">
        <f t="shared" ref="U202" si="256">U204</f>
        <v>0</v>
      </c>
      <c r="V202" s="29">
        <f t="shared" si="231"/>
        <v>1</v>
      </c>
    </row>
    <row r="203" spans="1:101" ht="18.75">
      <c r="A203" s="41"/>
      <c r="B203" s="43" t="s">
        <v>15</v>
      </c>
      <c r="C203" s="32"/>
      <c r="D203" s="44"/>
      <c r="E203" s="32"/>
      <c r="F203" s="28"/>
      <c r="G203" s="33"/>
      <c r="H203" s="33"/>
      <c r="I203" s="33"/>
      <c r="J203" s="28"/>
      <c r="K203" s="33"/>
      <c r="L203" s="33"/>
      <c r="M203" s="33"/>
      <c r="N203" s="28"/>
      <c r="O203" s="33"/>
      <c r="P203" s="33"/>
      <c r="Q203" s="33"/>
      <c r="R203" s="28"/>
      <c r="S203" s="33"/>
      <c r="T203" s="33"/>
      <c r="U203" s="33"/>
      <c r="V203" s="71"/>
    </row>
    <row r="204" spans="1:101" ht="73.5" customHeight="1">
      <c r="A204" s="41"/>
      <c r="B204" s="43" t="s">
        <v>265</v>
      </c>
      <c r="C204" s="36">
        <v>840</v>
      </c>
      <c r="D204" s="37" t="s">
        <v>74</v>
      </c>
      <c r="E204" s="36" t="s">
        <v>263</v>
      </c>
      <c r="F204" s="28">
        <f t="shared" si="232"/>
        <v>3265.3</v>
      </c>
      <c r="G204" s="33">
        <f>98-0.04</f>
        <v>98</v>
      </c>
      <c r="H204" s="33">
        <v>3167.3</v>
      </c>
      <c r="I204" s="33"/>
      <c r="J204" s="28">
        <f t="shared" ref="J204:J206" si="257">K204+L204+M204</f>
        <v>3265.3</v>
      </c>
      <c r="K204" s="33">
        <v>98</v>
      </c>
      <c r="L204" s="33">
        <v>3167.3</v>
      </c>
      <c r="M204" s="33"/>
      <c r="N204" s="28">
        <f t="shared" ref="N204:N206" si="258">O204+P204+Q204</f>
        <v>5083.5</v>
      </c>
      <c r="O204" s="33">
        <v>152.5</v>
      </c>
      <c r="P204" s="33">
        <v>4931</v>
      </c>
      <c r="Q204" s="33"/>
      <c r="R204" s="28">
        <f t="shared" ref="R204:R206" si="259">S204+T204+U204</f>
        <v>6173.3</v>
      </c>
      <c r="S204" s="33">
        <v>185.2</v>
      </c>
      <c r="T204" s="33">
        <v>5988.1</v>
      </c>
      <c r="U204" s="33"/>
      <c r="V204" s="71">
        <f t="shared" si="231"/>
        <v>1</v>
      </c>
    </row>
    <row r="205" spans="1:101" s="78" customFormat="1" ht="51.75" customHeight="1">
      <c r="A205" s="19" t="s">
        <v>128</v>
      </c>
      <c r="B205" s="68" t="s">
        <v>129</v>
      </c>
      <c r="C205" s="21" t="s">
        <v>12</v>
      </c>
      <c r="D205" s="21" t="s">
        <v>12</v>
      </c>
      <c r="E205" s="21" t="s">
        <v>12</v>
      </c>
      <c r="F205" s="50">
        <f t="shared" si="232"/>
        <v>18923.7</v>
      </c>
      <c r="G205" s="50">
        <f>G206</f>
        <v>6914</v>
      </c>
      <c r="H205" s="50">
        <f>H206</f>
        <v>12009.7</v>
      </c>
      <c r="I205" s="50">
        <f>I206</f>
        <v>0</v>
      </c>
      <c r="J205" s="50">
        <f t="shared" si="257"/>
        <v>18923.7</v>
      </c>
      <c r="K205" s="50">
        <f>K206</f>
        <v>6914</v>
      </c>
      <c r="L205" s="50">
        <f>L206</f>
        <v>12009.7</v>
      </c>
      <c r="M205" s="50">
        <f>M206</f>
        <v>0</v>
      </c>
      <c r="N205" s="50">
        <f t="shared" si="258"/>
        <v>1500</v>
      </c>
      <c r="O205" s="50">
        <f>O206</f>
        <v>1500</v>
      </c>
      <c r="P205" s="50">
        <f>P206</f>
        <v>0</v>
      </c>
      <c r="Q205" s="50">
        <f>Q206</f>
        <v>0</v>
      </c>
      <c r="R205" s="50">
        <f t="shared" si="259"/>
        <v>1500</v>
      </c>
      <c r="S205" s="50">
        <f>S206</f>
        <v>1500</v>
      </c>
      <c r="T205" s="50">
        <f>T206</f>
        <v>0</v>
      </c>
      <c r="U205" s="50">
        <f>U206</f>
        <v>0</v>
      </c>
      <c r="V205" s="51">
        <f t="shared" si="231"/>
        <v>1</v>
      </c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3"/>
      <c r="AS205" s="3"/>
      <c r="AT205" s="3"/>
      <c r="AU205" s="3"/>
      <c r="AV205" s="3"/>
      <c r="AW205" s="3"/>
      <c r="AX205" s="3"/>
      <c r="AY205" s="3"/>
      <c r="AZ205" s="3"/>
      <c r="BA205" s="3"/>
      <c r="BB205" s="3"/>
      <c r="BC205" s="3"/>
      <c r="BD205" s="3"/>
      <c r="BE205" s="3"/>
      <c r="BF205" s="3"/>
      <c r="BG205" s="3"/>
      <c r="BH205" s="3"/>
      <c r="BI205" s="3"/>
      <c r="BJ205" s="3"/>
      <c r="BK205" s="3"/>
      <c r="BL205" s="3"/>
      <c r="BM205" s="3"/>
      <c r="BN205" s="3"/>
      <c r="BO205" s="3"/>
      <c r="BP205" s="3"/>
      <c r="BQ205" s="3"/>
      <c r="BR205" s="3"/>
      <c r="BS205" s="3"/>
      <c r="BT205" s="3"/>
      <c r="BU205" s="3"/>
      <c r="BV205" s="3"/>
      <c r="BW205" s="3"/>
      <c r="BX205" s="3"/>
      <c r="BY205" s="3"/>
      <c r="BZ205" s="3"/>
      <c r="CA205" s="3"/>
      <c r="CB205" s="3"/>
      <c r="CC205" s="3"/>
      <c r="CD205" s="3"/>
      <c r="CE205" s="3"/>
      <c r="CF205" s="3"/>
      <c r="CG205" s="3"/>
      <c r="CH205" s="3"/>
      <c r="CI205" s="3"/>
      <c r="CJ205" s="3"/>
      <c r="CK205" s="3"/>
      <c r="CL205" s="3"/>
      <c r="CM205" s="3"/>
      <c r="CN205" s="3"/>
      <c r="CO205" s="3"/>
      <c r="CP205" s="3"/>
      <c r="CQ205" s="3"/>
      <c r="CR205" s="3"/>
      <c r="CS205" s="3"/>
      <c r="CT205" s="3"/>
      <c r="CU205" s="3"/>
      <c r="CV205" s="3"/>
      <c r="CW205" s="3"/>
    </row>
    <row r="206" spans="1:101" ht="64.5" customHeight="1">
      <c r="A206" s="11" t="s">
        <v>130</v>
      </c>
      <c r="B206" s="25" t="s">
        <v>131</v>
      </c>
      <c r="C206" s="39" t="s">
        <v>12</v>
      </c>
      <c r="D206" s="39" t="s">
        <v>12</v>
      </c>
      <c r="E206" s="39" t="s">
        <v>12</v>
      </c>
      <c r="F206" s="28">
        <f t="shared" si="232"/>
        <v>18923.7</v>
      </c>
      <c r="G206" s="28">
        <f>SUM(G208:G209)</f>
        <v>6914</v>
      </c>
      <c r="H206" s="28">
        <f>SUM(H208:H209)</f>
        <v>12009.7</v>
      </c>
      <c r="I206" s="28">
        <f>SUM(I208:I209)</f>
        <v>0</v>
      </c>
      <c r="J206" s="28">
        <f t="shared" si="257"/>
        <v>18923.7</v>
      </c>
      <c r="K206" s="28">
        <f>SUM(K208:K209)</f>
        <v>6914</v>
      </c>
      <c r="L206" s="28">
        <f>SUM(L208:L209)</f>
        <v>12009.7</v>
      </c>
      <c r="M206" s="28">
        <f>SUM(M208:M209)</f>
        <v>0</v>
      </c>
      <c r="N206" s="27">
        <f t="shared" si="258"/>
        <v>1500</v>
      </c>
      <c r="O206" s="28">
        <f>SUM(O208:O209)</f>
        <v>1500</v>
      </c>
      <c r="P206" s="28">
        <f>SUM(P208:P209)</f>
        <v>0</v>
      </c>
      <c r="Q206" s="28">
        <f>SUM(Q208:Q209)</f>
        <v>0</v>
      </c>
      <c r="R206" s="27">
        <f t="shared" si="259"/>
        <v>1500</v>
      </c>
      <c r="S206" s="28">
        <f>SUM(S208:S209)</f>
        <v>1500</v>
      </c>
      <c r="T206" s="28">
        <f>SUM(T208:T209)</f>
        <v>0</v>
      </c>
      <c r="U206" s="28">
        <f>SUM(U208:U209)</f>
        <v>0</v>
      </c>
      <c r="V206" s="40">
        <f t="shared" si="231"/>
        <v>1</v>
      </c>
    </row>
    <row r="207" spans="1:101" ht="18.75">
      <c r="A207" s="41"/>
      <c r="B207" s="69" t="s">
        <v>15</v>
      </c>
      <c r="C207" s="32"/>
      <c r="D207" s="32"/>
      <c r="E207" s="32"/>
      <c r="F207" s="28"/>
      <c r="G207" s="28"/>
      <c r="H207" s="28"/>
      <c r="I207" s="28"/>
      <c r="J207" s="28"/>
      <c r="K207" s="28"/>
      <c r="L207" s="28"/>
      <c r="M207" s="28"/>
      <c r="N207" s="28"/>
      <c r="O207" s="28"/>
      <c r="P207" s="28"/>
      <c r="Q207" s="28"/>
      <c r="R207" s="28"/>
      <c r="S207" s="28"/>
      <c r="T207" s="28"/>
      <c r="U207" s="28"/>
      <c r="V207" s="40"/>
    </row>
    <row r="208" spans="1:101" ht="54.75" customHeight="1">
      <c r="A208" s="41"/>
      <c r="B208" s="43" t="s">
        <v>369</v>
      </c>
      <c r="C208" s="36">
        <v>840</v>
      </c>
      <c r="D208" s="37" t="s">
        <v>74</v>
      </c>
      <c r="E208" s="36" t="s">
        <v>140</v>
      </c>
      <c r="F208" s="28">
        <f t="shared" si="232"/>
        <v>17708.7</v>
      </c>
      <c r="G208" s="33">
        <f>1500+2914+1034.4+250.6</f>
        <v>5699</v>
      </c>
      <c r="H208" s="33">
        <v>12009.7</v>
      </c>
      <c r="I208" s="33"/>
      <c r="J208" s="28">
        <f t="shared" ref="J208:J209" si="260">K208+L208+M208</f>
        <v>17708.7</v>
      </c>
      <c r="K208" s="33">
        <f>1500+2914+1034.4+250.6</f>
        <v>5699</v>
      </c>
      <c r="L208" s="33">
        <f>10929.1+1080.6</f>
        <v>12009.7</v>
      </c>
      <c r="M208" s="33"/>
      <c r="N208" s="28">
        <f t="shared" ref="N208:N209" si="261">O208+P208+Q208</f>
        <v>1500</v>
      </c>
      <c r="O208" s="33">
        <v>1500</v>
      </c>
      <c r="P208" s="33"/>
      <c r="Q208" s="33"/>
      <c r="R208" s="28">
        <f t="shared" ref="R208:R209" si="262">S208+T208+U208</f>
        <v>1500</v>
      </c>
      <c r="S208" s="33">
        <v>1500</v>
      </c>
      <c r="T208" s="33"/>
      <c r="U208" s="33"/>
      <c r="V208" s="71">
        <f t="shared" si="231"/>
        <v>1</v>
      </c>
    </row>
    <row r="209" spans="1:101" ht="42" customHeight="1">
      <c r="A209" s="41"/>
      <c r="B209" s="43" t="s">
        <v>227</v>
      </c>
      <c r="C209" s="36">
        <v>816</v>
      </c>
      <c r="D209" s="37" t="s">
        <v>53</v>
      </c>
      <c r="E209" s="36" t="s">
        <v>228</v>
      </c>
      <c r="F209" s="28">
        <f t="shared" si="232"/>
        <v>1215</v>
      </c>
      <c r="G209" s="33">
        <f>2500-1034.4-250.6</f>
        <v>1215</v>
      </c>
      <c r="H209" s="33"/>
      <c r="I209" s="33"/>
      <c r="J209" s="28">
        <f t="shared" si="260"/>
        <v>1215</v>
      </c>
      <c r="K209" s="33">
        <f>627.4+587.6</f>
        <v>1215</v>
      </c>
      <c r="L209" s="33"/>
      <c r="M209" s="33"/>
      <c r="N209" s="28">
        <f t="shared" si="261"/>
        <v>0</v>
      </c>
      <c r="O209" s="33"/>
      <c r="P209" s="33"/>
      <c r="Q209" s="33"/>
      <c r="R209" s="28">
        <f t="shared" si="262"/>
        <v>0</v>
      </c>
      <c r="S209" s="33"/>
      <c r="T209" s="33"/>
      <c r="U209" s="33"/>
      <c r="V209" s="71">
        <f t="shared" si="231"/>
        <v>1</v>
      </c>
    </row>
    <row r="210" spans="1:101" s="78" customFormat="1" ht="42.75" customHeight="1">
      <c r="A210" s="68">
        <v>11</v>
      </c>
      <c r="B210" s="68" t="s">
        <v>257</v>
      </c>
      <c r="C210" s="21" t="s">
        <v>12</v>
      </c>
      <c r="D210" s="21" t="s">
        <v>12</v>
      </c>
      <c r="E210" s="83" t="s">
        <v>12</v>
      </c>
      <c r="F210" s="50">
        <f t="shared" si="232"/>
        <v>29989.1</v>
      </c>
      <c r="G210" s="50">
        <f>G211</f>
        <v>899.7</v>
      </c>
      <c r="H210" s="50">
        <f>H211</f>
        <v>29089.4</v>
      </c>
      <c r="I210" s="50">
        <f>I211</f>
        <v>0</v>
      </c>
      <c r="J210" s="50">
        <f t="shared" ref="J210:J211" si="263">K210+L210+M210</f>
        <v>29989.1</v>
      </c>
      <c r="K210" s="50">
        <f>K211</f>
        <v>899.7</v>
      </c>
      <c r="L210" s="50">
        <f>L211</f>
        <v>29089.4</v>
      </c>
      <c r="M210" s="50">
        <f>M211</f>
        <v>0</v>
      </c>
      <c r="N210" s="50">
        <f t="shared" ref="N210:N211" si="264">O210+P210+Q210</f>
        <v>36758.400000000001</v>
      </c>
      <c r="O210" s="50">
        <f>O211</f>
        <v>2602.8000000000002</v>
      </c>
      <c r="P210" s="50">
        <f>P211</f>
        <v>34155.599999999999</v>
      </c>
      <c r="Q210" s="50">
        <f>Q211</f>
        <v>0</v>
      </c>
      <c r="R210" s="50">
        <f t="shared" ref="R210:R211" si="265">S210+T210+U210</f>
        <v>32179</v>
      </c>
      <c r="S210" s="50">
        <f>S211</f>
        <v>965.4</v>
      </c>
      <c r="T210" s="50">
        <f>T211</f>
        <v>31213.599999999999</v>
      </c>
      <c r="U210" s="50">
        <f>U211</f>
        <v>0</v>
      </c>
      <c r="V210" s="51">
        <f t="shared" si="231"/>
        <v>1</v>
      </c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P210" s="3"/>
      <c r="AQ210" s="3"/>
      <c r="AR210" s="3"/>
      <c r="AS210" s="3"/>
      <c r="AT210" s="3"/>
      <c r="AU210" s="3"/>
      <c r="AV210" s="3"/>
      <c r="AW210" s="3"/>
      <c r="AX210" s="3"/>
      <c r="AY210" s="3"/>
      <c r="AZ210" s="3"/>
      <c r="BA210" s="3"/>
      <c r="BB210" s="3"/>
      <c r="BC210" s="3"/>
      <c r="BD210" s="3"/>
      <c r="BE210" s="3"/>
      <c r="BF210" s="3"/>
      <c r="BG210" s="3"/>
      <c r="BH210" s="3"/>
      <c r="BI210" s="3"/>
      <c r="BJ210" s="3"/>
      <c r="BK210" s="3"/>
      <c r="BL210" s="3"/>
      <c r="BM210" s="3"/>
      <c r="BN210" s="3"/>
      <c r="BO210" s="3"/>
      <c r="BP210" s="3"/>
      <c r="BQ210" s="3"/>
      <c r="BR210" s="3"/>
      <c r="BS210" s="3"/>
      <c r="BT210" s="3"/>
      <c r="BU210" s="3"/>
      <c r="BV210" s="3"/>
      <c r="BW210" s="3"/>
      <c r="BX210" s="3"/>
      <c r="BY210" s="3"/>
      <c r="BZ210" s="3"/>
      <c r="CA210" s="3"/>
      <c r="CB210" s="3"/>
      <c r="CC210" s="3"/>
      <c r="CD210" s="3"/>
      <c r="CE210" s="3"/>
      <c r="CF210" s="3"/>
      <c r="CG210" s="3"/>
      <c r="CH210" s="3"/>
      <c r="CI210" s="3"/>
      <c r="CJ210" s="3"/>
      <c r="CK210" s="3"/>
      <c r="CL210" s="3"/>
      <c r="CM210" s="3"/>
      <c r="CN210" s="3"/>
      <c r="CO210" s="3"/>
      <c r="CP210" s="3"/>
      <c r="CQ210" s="3"/>
      <c r="CR210" s="3"/>
      <c r="CS210" s="3"/>
      <c r="CT210" s="3"/>
      <c r="CU210" s="3"/>
      <c r="CV210" s="3"/>
      <c r="CW210" s="3"/>
    </row>
    <row r="211" spans="1:101" s="8" customFormat="1" ht="39" customHeight="1">
      <c r="A211" s="24" t="s">
        <v>143</v>
      </c>
      <c r="B211" s="54" t="s">
        <v>144</v>
      </c>
      <c r="C211" s="26" t="s">
        <v>12</v>
      </c>
      <c r="D211" s="26" t="s">
        <v>12</v>
      </c>
      <c r="E211" s="26" t="s">
        <v>12</v>
      </c>
      <c r="F211" s="28">
        <f t="shared" si="232"/>
        <v>29989.1</v>
      </c>
      <c r="G211" s="28">
        <f t="shared" ref="G211:H211" si="266">SUM(G213:G214)</f>
        <v>899.7</v>
      </c>
      <c r="H211" s="28">
        <f t="shared" si="266"/>
        <v>29089.4</v>
      </c>
      <c r="I211" s="28">
        <f t="shared" ref="I211" si="267">SUM(I213:I214)</f>
        <v>0</v>
      </c>
      <c r="J211" s="28">
        <f t="shared" si="263"/>
        <v>29989.1</v>
      </c>
      <c r="K211" s="28">
        <f t="shared" ref="K211:M211" si="268">SUM(K213:K214)</f>
        <v>899.7</v>
      </c>
      <c r="L211" s="28">
        <f t="shared" si="268"/>
        <v>29089.4</v>
      </c>
      <c r="M211" s="28">
        <f t="shared" si="268"/>
        <v>0</v>
      </c>
      <c r="N211" s="28">
        <f t="shared" si="264"/>
        <v>36758.400000000001</v>
      </c>
      <c r="O211" s="28">
        <f t="shared" ref="O211:T211" si="269">SUM(O213:O214)</f>
        <v>2602.8000000000002</v>
      </c>
      <c r="P211" s="28">
        <f t="shared" si="269"/>
        <v>34155.599999999999</v>
      </c>
      <c r="Q211" s="28">
        <f t="shared" si="269"/>
        <v>0</v>
      </c>
      <c r="R211" s="28">
        <f t="shared" si="265"/>
        <v>32179</v>
      </c>
      <c r="S211" s="28">
        <f t="shared" si="269"/>
        <v>965.4</v>
      </c>
      <c r="T211" s="28">
        <f t="shared" si="269"/>
        <v>31213.599999999999</v>
      </c>
      <c r="U211" s="28">
        <f t="shared" ref="U211" si="270">SUM(U213:U214)</f>
        <v>0</v>
      </c>
      <c r="V211" s="40">
        <f t="shared" si="231"/>
        <v>1</v>
      </c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3"/>
      <c r="AT211" s="3"/>
      <c r="AU211" s="3"/>
      <c r="AV211" s="3"/>
      <c r="AW211" s="3"/>
      <c r="AX211" s="3"/>
      <c r="AY211" s="3"/>
      <c r="AZ211" s="3"/>
      <c r="BA211" s="3"/>
      <c r="BB211" s="3"/>
      <c r="BC211" s="3"/>
      <c r="BD211" s="3"/>
      <c r="BE211" s="3"/>
      <c r="BF211" s="3"/>
      <c r="BG211" s="3"/>
      <c r="BH211" s="3"/>
      <c r="BI211" s="3"/>
      <c r="BJ211" s="3"/>
      <c r="BK211" s="3"/>
      <c r="BL211" s="3"/>
      <c r="BM211" s="3"/>
      <c r="BN211" s="3"/>
      <c r="BO211" s="3"/>
      <c r="BP211" s="3"/>
      <c r="BQ211" s="3"/>
      <c r="BR211" s="3"/>
      <c r="BS211" s="3"/>
      <c r="BT211" s="3"/>
      <c r="BU211" s="3"/>
      <c r="BV211" s="3"/>
      <c r="BW211" s="3"/>
      <c r="BX211" s="3"/>
      <c r="BY211" s="3"/>
      <c r="BZ211" s="3"/>
      <c r="CA211" s="3"/>
      <c r="CB211" s="3"/>
      <c r="CC211" s="3"/>
      <c r="CD211" s="3"/>
      <c r="CE211" s="3"/>
      <c r="CF211" s="3"/>
      <c r="CG211" s="3"/>
      <c r="CH211" s="3"/>
      <c r="CI211" s="3"/>
      <c r="CJ211" s="3"/>
      <c r="CK211" s="3"/>
      <c r="CL211" s="3"/>
      <c r="CM211" s="3"/>
      <c r="CN211" s="3"/>
      <c r="CO211" s="3"/>
      <c r="CP211" s="3"/>
      <c r="CQ211" s="3"/>
      <c r="CR211" s="3"/>
      <c r="CS211" s="3"/>
      <c r="CT211" s="3"/>
      <c r="CU211" s="3"/>
      <c r="CV211" s="3"/>
      <c r="CW211" s="3"/>
    </row>
    <row r="212" spans="1:101" ht="18.75">
      <c r="A212" s="14"/>
      <c r="B212" s="73" t="s">
        <v>15</v>
      </c>
      <c r="C212" s="63"/>
      <c r="D212" s="63"/>
      <c r="E212" s="63"/>
      <c r="F212" s="28"/>
      <c r="G212" s="28"/>
      <c r="H212" s="28"/>
      <c r="I212" s="28"/>
      <c r="J212" s="28"/>
      <c r="K212" s="28"/>
      <c r="L212" s="28"/>
      <c r="M212" s="28"/>
      <c r="N212" s="27"/>
      <c r="O212" s="28"/>
      <c r="P212" s="28"/>
      <c r="Q212" s="28"/>
      <c r="R212" s="27"/>
      <c r="S212" s="28"/>
      <c r="T212" s="28"/>
      <c r="U212" s="28"/>
      <c r="V212" s="40"/>
    </row>
    <row r="213" spans="1:101" ht="49.5">
      <c r="A213" s="84"/>
      <c r="B213" s="35" t="s">
        <v>145</v>
      </c>
      <c r="C213" s="64">
        <v>818</v>
      </c>
      <c r="D213" s="65" t="s">
        <v>146</v>
      </c>
      <c r="E213" s="64" t="s">
        <v>147</v>
      </c>
      <c r="F213" s="28">
        <f t="shared" si="232"/>
        <v>0</v>
      </c>
      <c r="G213" s="33"/>
      <c r="H213" s="33"/>
      <c r="I213" s="33"/>
      <c r="J213" s="28">
        <f t="shared" ref="J213:J214" si="271">K213+L213+M213</f>
        <v>0</v>
      </c>
      <c r="K213" s="33"/>
      <c r="L213" s="33"/>
      <c r="M213" s="33"/>
      <c r="N213" s="27">
        <f t="shared" ref="N213:N214" si="272">O213+P213+Q213</f>
        <v>1546.4</v>
      </c>
      <c r="O213" s="33">
        <v>1546.4</v>
      </c>
      <c r="P213" s="33"/>
      <c r="Q213" s="33"/>
      <c r="R213" s="27">
        <f t="shared" ref="R213:R214" si="273">S213+T213+U213</f>
        <v>0</v>
      </c>
      <c r="S213" s="33"/>
      <c r="T213" s="33"/>
      <c r="U213" s="33"/>
      <c r="V213" s="71"/>
    </row>
    <row r="214" spans="1:101" ht="54.75" customHeight="1">
      <c r="A214" s="84"/>
      <c r="B214" s="35" t="s">
        <v>307</v>
      </c>
      <c r="C214" s="64">
        <v>817</v>
      </c>
      <c r="D214" s="65" t="s">
        <v>126</v>
      </c>
      <c r="E214" s="64" t="s">
        <v>250</v>
      </c>
      <c r="F214" s="28">
        <f t="shared" si="232"/>
        <v>29989.1</v>
      </c>
      <c r="G214" s="33">
        <f>1215.7+0.01-721.7+405.7</f>
        <v>899.7</v>
      </c>
      <c r="H214" s="33">
        <f>39308-23336.3+13117.7</f>
        <v>29089.4</v>
      </c>
      <c r="I214" s="33"/>
      <c r="J214" s="28">
        <f t="shared" si="271"/>
        <v>29989.1</v>
      </c>
      <c r="K214" s="33">
        <v>899.7</v>
      </c>
      <c r="L214" s="33">
        <v>29089.37</v>
      </c>
      <c r="M214" s="33"/>
      <c r="N214" s="27">
        <f t="shared" si="272"/>
        <v>35212</v>
      </c>
      <c r="O214" s="33">
        <f>1056.4-0.04</f>
        <v>1056.4000000000001</v>
      </c>
      <c r="P214" s="33">
        <v>34155.599999999999</v>
      </c>
      <c r="Q214" s="33"/>
      <c r="R214" s="27">
        <f t="shared" si="273"/>
        <v>32179</v>
      </c>
      <c r="S214" s="33">
        <f>965.4-0.03</f>
        <v>965.4</v>
      </c>
      <c r="T214" s="33">
        <v>31213.599999999999</v>
      </c>
      <c r="U214" s="33"/>
      <c r="V214" s="71">
        <f t="shared" si="231"/>
        <v>1</v>
      </c>
    </row>
    <row r="215" spans="1:101">
      <c r="B215" s="5" t="s">
        <v>319</v>
      </c>
    </row>
    <row r="216" spans="1:101">
      <c r="B216" s="5" t="s">
        <v>255</v>
      </c>
    </row>
    <row r="217" spans="1:101">
      <c r="F217" s="3"/>
      <c r="G217" s="3"/>
      <c r="H217" s="3"/>
      <c r="J217" s="3"/>
      <c r="N217" s="3"/>
      <c r="O217" s="3"/>
      <c r="P217" s="3"/>
      <c r="Q217" s="3"/>
      <c r="R217" s="3"/>
      <c r="S217" s="3"/>
      <c r="T217" s="3"/>
      <c r="U217" s="3"/>
      <c r="V217" s="3"/>
    </row>
    <row r="218" spans="1:101">
      <c r="F218" s="3"/>
      <c r="G218" s="3"/>
      <c r="H218" s="3"/>
      <c r="J218" s="3"/>
      <c r="N218" s="3"/>
      <c r="O218" s="3"/>
      <c r="P218" s="3"/>
      <c r="Q218" s="3"/>
      <c r="R218" s="3"/>
      <c r="S218" s="3"/>
      <c r="T218" s="3"/>
      <c r="U218" s="3"/>
      <c r="V218" s="3"/>
    </row>
    <row r="219" spans="1:101">
      <c r="F219" s="3"/>
      <c r="G219" s="3"/>
      <c r="H219" s="3"/>
      <c r="J219" s="3"/>
      <c r="N219" s="3"/>
      <c r="O219" s="3"/>
      <c r="P219" s="3"/>
      <c r="Q219" s="3"/>
      <c r="R219" s="3"/>
      <c r="S219" s="3"/>
      <c r="T219" s="3"/>
      <c r="U219" s="3"/>
      <c r="V219" s="3"/>
    </row>
    <row r="220" spans="1:101">
      <c r="F220" s="3"/>
      <c r="G220" s="3"/>
      <c r="H220" s="3"/>
      <c r="J220" s="3"/>
      <c r="N220" s="3"/>
      <c r="O220" s="3"/>
      <c r="P220" s="3"/>
      <c r="Q220" s="3"/>
      <c r="R220" s="3"/>
      <c r="S220" s="3"/>
      <c r="T220" s="3"/>
      <c r="U220" s="3"/>
      <c r="V220" s="3"/>
    </row>
    <row r="221" spans="1:101">
      <c r="F221" s="3"/>
      <c r="G221" s="3"/>
      <c r="H221" s="3"/>
      <c r="J221" s="3"/>
      <c r="N221" s="3"/>
      <c r="O221" s="3"/>
      <c r="P221" s="3"/>
      <c r="Q221" s="3"/>
      <c r="R221" s="3"/>
      <c r="S221" s="3"/>
      <c r="T221" s="3"/>
      <c r="U221" s="3"/>
      <c r="V221" s="3"/>
    </row>
    <row r="222" spans="1:101">
      <c r="F222" s="3"/>
      <c r="G222" s="3"/>
      <c r="H222" s="3"/>
      <c r="J222" s="3"/>
      <c r="N222" s="3"/>
      <c r="O222" s="3"/>
      <c r="P222" s="3"/>
      <c r="Q222" s="3"/>
      <c r="R222" s="3"/>
      <c r="S222" s="3"/>
      <c r="T222" s="3"/>
      <c r="U222" s="3"/>
      <c r="V222" s="3"/>
    </row>
    <row r="223" spans="1:101" ht="22.15" customHeight="1">
      <c r="F223" s="3"/>
      <c r="G223" s="3"/>
      <c r="H223" s="3"/>
      <c r="J223" s="3"/>
      <c r="N223" s="3"/>
      <c r="O223" s="3"/>
      <c r="P223" s="3"/>
      <c r="Q223" s="3"/>
      <c r="R223" s="3"/>
      <c r="S223" s="3"/>
      <c r="T223" s="3"/>
      <c r="U223" s="3"/>
      <c r="V223" s="3"/>
    </row>
    <row r="224" spans="1:101" ht="22.15" customHeight="1">
      <c r="F224" s="3"/>
      <c r="G224" s="3"/>
      <c r="H224" s="3"/>
      <c r="J224" s="3"/>
      <c r="N224" s="3"/>
      <c r="O224" s="3"/>
      <c r="P224" s="3"/>
      <c r="Q224" s="3"/>
      <c r="R224" s="3"/>
      <c r="S224" s="3"/>
      <c r="T224" s="3"/>
      <c r="U224" s="3"/>
      <c r="V224" s="3"/>
    </row>
    <row r="225" spans="6:22" ht="22.15" customHeight="1">
      <c r="F225" s="3"/>
      <c r="G225" s="3"/>
      <c r="H225" s="3"/>
      <c r="J225" s="3"/>
      <c r="N225" s="3"/>
      <c r="O225" s="3"/>
      <c r="P225" s="3"/>
      <c r="Q225" s="3"/>
      <c r="R225" s="3"/>
      <c r="S225" s="3"/>
      <c r="T225" s="3"/>
      <c r="U225" s="3"/>
      <c r="V225" s="3"/>
    </row>
    <row r="226" spans="6:22" ht="22.15" customHeight="1">
      <c r="F226" s="3"/>
      <c r="G226" s="3"/>
      <c r="H226" s="3"/>
      <c r="J226" s="3"/>
      <c r="N226" s="3"/>
      <c r="O226" s="3"/>
      <c r="P226" s="3"/>
      <c r="Q226" s="3"/>
      <c r="R226" s="3"/>
      <c r="S226" s="3"/>
      <c r="T226" s="3"/>
      <c r="U226" s="3"/>
      <c r="V226" s="3"/>
    </row>
    <row r="227" spans="6:22" ht="21" customHeight="1">
      <c r="F227" s="3"/>
      <c r="G227" s="3"/>
      <c r="H227" s="3"/>
      <c r="J227" s="3"/>
      <c r="N227" s="3"/>
      <c r="O227" s="3"/>
      <c r="P227" s="3"/>
      <c r="Q227" s="3"/>
      <c r="R227" s="3"/>
      <c r="S227" s="3"/>
      <c r="T227" s="3"/>
      <c r="U227" s="3"/>
      <c r="V227" s="3"/>
    </row>
    <row r="228" spans="6:22" ht="21" customHeight="1">
      <c r="F228" s="3"/>
      <c r="G228" s="3"/>
      <c r="H228" s="3"/>
      <c r="J228" s="3"/>
      <c r="N228" s="3"/>
      <c r="O228" s="3"/>
      <c r="P228" s="3"/>
      <c r="Q228" s="3"/>
      <c r="R228" s="3"/>
      <c r="S228" s="3"/>
      <c r="T228" s="3"/>
      <c r="U228" s="3"/>
      <c r="V228" s="3"/>
    </row>
    <row r="229" spans="6:22" ht="21" customHeight="1">
      <c r="F229" s="3"/>
      <c r="G229" s="3"/>
      <c r="H229" s="3"/>
      <c r="J229" s="3"/>
      <c r="N229" s="3"/>
      <c r="O229" s="3"/>
      <c r="P229" s="3"/>
      <c r="Q229" s="3"/>
      <c r="R229" s="3"/>
      <c r="S229" s="3"/>
      <c r="T229" s="3"/>
      <c r="U229" s="3"/>
      <c r="V229" s="3"/>
    </row>
    <row r="230" spans="6:22" ht="21" customHeight="1">
      <c r="F230" s="3"/>
      <c r="G230" s="3"/>
      <c r="H230" s="3"/>
      <c r="J230" s="3"/>
      <c r="N230" s="3"/>
      <c r="O230" s="3"/>
      <c r="P230" s="3"/>
      <c r="Q230" s="3"/>
      <c r="R230" s="3"/>
      <c r="S230" s="3"/>
      <c r="T230" s="3"/>
      <c r="U230" s="3"/>
      <c r="V230" s="3"/>
    </row>
    <row r="231" spans="6:22" ht="17.45" customHeight="1">
      <c r="F231" s="3"/>
      <c r="G231" s="3"/>
      <c r="H231" s="3"/>
      <c r="J231" s="3"/>
      <c r="N231" s="3"/>
      <c r="O231" s="3"/>
      <c r="P231" s="3"/>
      <c r="Q231" s="3"/>
      <c r="R231" s="3"/>
      <c r="S231" s="3"/>
      <c r="T231" s="3"/>
      <c r="U231" s="3"/>
      <c r="V231" s="3"/>
    </row>
    <row r="232" spans="6:22" ht="16.149999999999999" customHeight="1">
      <c r="F232" s="3"/>
      <c r="G232" s="3"/>
      <c r="H232" s="3"/>
      <c r="J232" s="3"/>
      <c r="N232" s="3"/>
      <c r="O232" s="3"/>
      <c r="P232" s="3"/>
      <c r="Q232" s="3"/>
      <c r="R232" s="3"/>
      <c r="S232" s="3"/>
      <c r="T232" s="3"/>
      <c r="U232" s="3"/>
      <c r="V232" s="3"/>
    </row>
    <row r="233" spans="6:22" ht="17.45" customHeight="1">
      <c r="F233" s="3"/>
      <c r="G233" s="3"/>
      <c r="H233" s="3"/>
      <c r="J233" s="3"/>
      <c r="N233" s="3"/>
      <c r="O233" s="3"/>
      <c r="P233" s="3"/>
      <c r="Q233" s="3"/>
      <c r="R233" s="3"/>
      <c r="S233" s="3"/>
      <c r="T233" s="3"/>
      <c r="U233" s="3"/>
      <c r="V233" s="3"/>
    </row>
    <row r="234" spans="6:22" ht="20.45" customHeight="1">
      <c r="F234" s="3"/>
      <c r="G234" s="3"/>
      <c r="H234" s="3"/>
      <c r="J234" s="3"/>
      <c r="N234" s="3"/>
      <c r="O234" s="3"/>
      <c r="P234" s="3"/>
      <c r="Q234" s="3"/>
      <c r="R234" s="3"/>
      <c r="S234" s="3"/>
      <c r="T234" s="3"/>
      <c r="U234" s="3"/>
      <c r="V234" s="3"/>
    </row>
    <row r="235" spans="6:22" ht="16.149999999999999" customHeight="1">
      <c r="F235" s="3"/>
      <c r="G235" s="3"/>
      <c r="H235" s="3"/>
      <c r="J235" s="3"/>
      <c r="N235" s="3"/>
      <c r="O235" s="3"/>
      <c r="P235" s="3"/>
      <c r="Q235" s="3"/>
      <c r="R235" s="3"/>
      <c r="S235" s="3"/>
      <c r="T235" s="3"/>
      <c r="U235" s="3"/>
      <c r="V235" s="3"/>
    </row>
    <row r="236" spans="6:22" ht="17.45" customHeight="1">
      <c r="F236" s="3"/>
      <c r="G236" s="3"/>
      <c r="H236" s="3"/>
      <c r="J236" s="3"/>
      <c r="N236" s="3"/>
      <c r="O236" s="3"/>
      <c r="P236" s="3"/>
      <c r="Q236" s="3"/>
      <c r="R236" s="3"/>
      <c r="S236" s="3"/>
      <c r="T236" s="3"/>
      <c r="U236" s="3"/>
      <c r="V236" s="3"/>
    </row>
    <row r="237" spans="6:22" ht="17.45" customHeight="1">
      <c r="F237" s="3"/>
      <c r="G237" s="3"/>
      <c r="H237" s="3"/>
      <c r="J237" s="3"/>
      <c r="N237" s="3"/>
      <c r="O237" s="3"/>
      <c r="P237" s="3"/>
      <c r="Q237" s="3"/>
      <c r="R237" s="3"/>
      <c r="S237" s="3"/>
      <c r="T237" s="3"/>
      <c r="U237" s="3"/>
      <c r="V237" s="3"/>
    </row>
    <row r="238" spans="6:22">
      <c r="F238" s="3"/>
      <c r="G238" s="3"/>
      <c r="H238" s="3"/>
      <c r="J238" s="3"/>
      <c r="N238" s="3"/>
      <c r="O238" s="3"/>
      <c r="P238" s="3"/>
      <c r="Q238" s="3"/>
      <c r="R238" s="3"/>
      <c r="S238" s="3"/>
      <c r="T238" s="3"/>
      <c r="U238" s="3"/>
      <c r="V238" s="3"/>
    </row>
    <row r="239" spans="6:22">
      <c r="F239" s="3"/>
      <c r="G239" s="3"/>
      <c r="H239" s="3"/>
      <c r="J239" s="3"/>
      <c r="N239" s="3"/>
      <c r="O239" s="3"/>
      <c r="P239" s="3"/>
      <c r="Q239" s="3"/>
      <c r="R239" s="3"/>
      <c r="S239" s="3"/>
      <c r="T239" s="3"/>
      <c r="U239" s="3"/>
      <c r="V239" s="3"/>
    </row>
    <row r="240" spans="6:22">
      <c r="F240" s="3"/>
      <c r="G240" s="3"/>
      <c r="H240" s="3"/>
      <c r="J240" s="3"/>
      <c r="N240" s="3"/>
      <c r="O240" s="3"/>
      <c r="P240" s="3"/>
      <c r="Q240" s="3"/>
      <c r="R240" s="3"/>
      <c r="S240" s="3"/>
      <c r="T240" s="3"/>
      <c r="U240" s="3"/>
      <c r="V240" s="3"/>
    </row>
    <row r="241" spans="6:22">
      <c r="F241" s="3"/>
      <c r="G241" s="3"/>
      <c r="H241" s="3"/>
      <c r="J241" s="3"/>
      <c r="N241" s="3"/>
      <c r="O241" s="3"/>
      <c r="P241" s="3"/>
      <c r="Q241" s="3"/>
      <c r="R241" s="3"/>
      <c r="S241" s="3"/>
      <c r="T241" s="3"/>
      <c r="U241" s="3"/>
      <c r="V241" s="3"/>
    </row>
    <row r="242" spans="6:22">
      <c r="F242" s="3"/>
      <c r="G242" s="3"/>
      <c r="H242" s="3"/>
      <c r="J242" s="3"/>
      <c r="N242" s="3"/>
      <c r="O242" s="3"/>
      <c r="P242" s="3"/>
      <c r="Q242" s="3"/>
      <c r="R242" s="3"/>
      <c r="S242" s="3"/>
      <c r="T242" s="3"/>
      <c r="U242" s="3"/>
      <c r="V242" s="3"/>
    </row>
    <row r="243" spans="6:22">
      <c r="F243" s="3"/>
      <c r="G243" s="3"/>
      <c r="H243" s="3"/>
      <c r="J243" s="3"/>
      <c r="N243" s="3"/>
      <c r="O243" s="3"/>
      <c r="P243" s="3"/>
      <c r="Q243" s="3"/>
      <c r="R243" s="3"/>
      <c r="S243" s="3"/>
      <c r="T243" s="3"/>
      <c r="U243" s="3"/>
      <c r="V243" s="3"/>
    </row>
    <row r="244" spans="6:22">
      <c r="F244" s="3"/>
      <c r="G244" s="3"/>
      <c r="H244" s="3"/>
      <c r="J244" s="3"/>
      <c r="N244" s="3"/>
      <c r="O244" s="3"/>
      <c r="P244" s="3"/>
      <c r="Q244" s="3"/>
      <c r="R244" s="3"/>
      <c r="S244" s="3"/>
      <c r="T244" s="3"/>
      <c r="U244" s="3"/>
      <c r="V244" s="3"/>
    </row>
    <row r="245" spans="6:22">
      <c r="F245" s="3"/>
      <c r="G245" s="3"/>
      <c r="H245" s="3"/>
      <c r="J245" s="3"/>
      <c r="N245" s="3"/>
      <c r="O245" s="3"/>
      <c r="P245" s="3"/>
      <c r="Q245" s="3"/>
      <c r="R245" s="3"/>
      <c r="S245" s="3"/>
      <c r="T245" s="3"/>
      <c r="U245" s="3"/>
      <c r="V245" s="3"/>
    </row>
    <row r="246" spans="6:22">
      <c r="F246" s="3"/>
      <c r="G246" s="3"/>
      <c r="H246" s="3"/>
      <c r="J246" s="3"/>
      <c r="N246" s="3"/>
      <c r="O246" s="3"/>
      <c r="P246" s="3"/>
      <c r="Q246" s="3"/>
      <c r="R246" s="3"/>
      <c r="S246" s="3"/>
      <c r="T246" s="3"/>
      <c r="U246" s="3"/>
      <c r="V246" s="3"/>
    </row>
    <row r="247" spans="6:22">
      <c r="F247" s="3"/>
      <c r="G247" s="3"/>
      <c r="H247" s="3"/>
      <c r="J247" s="3"/>
      <c r="N247" s="3"/>
      <c r="O247" s="3"/>
      <c r="P247" s="3"/>
      <c r="Q247" s="3"/>
      <c r="R247" s="3"/>
      <c r="S247" s="3"/>
      <c r="T247" s="3"/>
      <c r="U247" s="3"/>
      <c r="V247" s="3"/>
    </row>
    <row r="248" spans="6:22">
      <c r="F248" s="3"/>
      <c r="G248" s="3"/>
      <c r="H248" s="3"/>
      <c r="J248" s="3"/>
      <c r="N248" s="3"/>
      <c r="O248" s="3"/>
      <c r="P248" s="3"/>
      <c r="Q248" s="3"/>
      <c r="R248" s="3"/>
      <c r="S248" s="3"/>
      <c r="T248" s="3"/>
      <c r="U248" s="3"/>
      <c r="V248" s="3"/>
    </row>
    <row r="249" spans="6:22">
      <c r="F249" s="3"/>
      <c r="G249" s="3"/>
      <c r="H249" s="3"/>
      <c r="J249" s="3"/>
      <c r="N249" s="3"/>
      <c r="O249" s="3"/>
      <c r="P249" s="3"/>
      <c r="Q249" s="3"/>
      <c r="R249" s="3"/>
      <c r="S249" s="3"/>
      <c r="T249" s="3"/>
      <c r="U249" s="3"/>
      <c r="V249" s="3"/>
    </row>
    <row r="250" spans="6:22">
      <c r="F250" s="3"/>
      <c r="G250" s="3"/>
      <c r="H250" s="3"/>
      <c r="J250" s="3"/>
      <c r="N250" s="3"/>
      <c r="O250" s="3"/>
      <c r="P250" s="3"/>
      <c r="Q250" s="3"/>
      <c r="R250" s="3"/>
      <c r="S250" s="3"/>
      <c r="T250" s="3"/>
      <c r="U250" s="3"/>
      <c r="V250" s="3"/>
    </row>
    <row r="251" spans="6:22">
      <c r="F251" s="3"/>
      <c r="G251" s="3"/>
      <c r="H251" s="3"/>
      <c r="J251" s="3"/>
      <c r="N251" s="3"/>
      <c r="O251" s="3"/>
      <c r="P251" s="3"/>
      <c r="Q251" s="3"/>
      <c r="R251" s="3"/>
      <c r="S251" s="3"/>
      <c r="T251" s="3"/>
      <c r="U251" s="3"/>
      <c r="V251" s="3"/>
    </row>
    <row r="252" spans="6:22">
      <c r="F252" s="3"/>
      <c r="G252" s="3"/>
      <c r="H252" s="3"/>
      <c r="J252" s="3"/>
      <c r="N252" s="3"/>
      <c r="O252" s="3"/>
      <c r="P252" s="3"/>
      <c r="Q252" s="3"/>
      <c r="R252" s="3"/>
      <c r="S252" s="3"/>
      <c r="T252" s="3"/>
      <c r="U252" s="3"/>
      <c r="V252" s="3"/>
    </row>
    <row r="253" spans="6:22">
      <c r="F253" s="3"/>
      <c r="G253" s="3"/>
      <c r="H253" s="3"/>
      <c r="J253" s="3"/>
      <c r="N253" s="3"/>
      <c r="O253" s="3"/>
      <c r="P253" s="3"/>
      <c r="Q253" s="3"/>
      <c r="R253" s="3"/>
      <c r="S253" s="3"/>
      <c r="T253" s="3"/>
      <c r="U253" s="3"/>
      <c r="V253" s="3"/>
    </row>
    <row r="254" spans="6:22">
      <c r="F254" s="3"/>
      <c r="G254" s="3"/>
      <c r="H254" s="3"/>
      <c r="J254" s="3"/>
      <c r="N254" s="3"/>
      <c r="O254" s="3"/>
      <c r="P254" s="3"/>
      <c r="Q254" s="3"/>
      <c r="R254" s="3"/>
      <c r="S254" s="3"/>
      <c r="T254" s="3"/>
      <c r="U254" s="3"/>
      <c r="V254" s="3"/>
    </row>
    <row r="255" spans="6:22">
      <c r="F255" s="3"/>
      <c r="G255" s="3"/>
      <c r="H255" s="3"/>
      <c r="J255" s="3"/>
      <c r="N255" s="3"/>
      <c r="O255" s="3"/>
      <c r="P255" s="3"/>
      <c r="Q255" s="3"/>
      <c r="R255" s="3"/>
      <c r="S255" s="3"/>
      <c r="T255" s="3"/>
      <c r="U255" s="3"/>
      <c r="V255" s="3"/>
    </row>
  </sheetData>
  <autoFilter ref="A7:V216"/>
  <customSheetViews>
    <customSheetView guid="{8DBC8541-9868-41A7-9A9F-A27FC80CBA37}" scale="78" showPageBreaks="1" printArea="1">
      <pane xSplit="1" ySplit="7" topLeftCell="B8" activePane="bottomRight" state="frozen"/>
      <selection pane="bottomRight" sqref="A1:XFD1048576"/>
      <rowBreaks count="2" manualBreakCount="2">
        <brk id="90" max="37" man="1"/>
        <brk id="103" max="37" man="1"/>
      </rowBreaks>
      <pageMargins left="0" right="0" top="0" bottom="0" header="0.31496062992125984" footer="0.31496062992125984"/>
      <printOptions horizontalCentered="1"/>
      <pageSetup paperSize="9" scale="37" orientation="landscape" horizontalDpi="180" verticalDpi="180" r:id="rId1"/>
    </customSheetView>
    <customSheetView guid="{FE09AB06-1ECE-4486-BCA1-E9D85830708B}" scale="60" showPageBreaks="1" printArea="1" showAutoFilter="1">
      <pane xSplit="1" ySplit="7" topLeftCell="B8" activePane="bottomRight" state="frozen"/>
      <selection pane="bottomRight" activeCell="Z16" sqref="Z16"/>
      <rowBreaks count="2" manualBreakCount="2">
        <brk id="94" max="37" man="1"/>
        <brk id="107" max="37" man="1"/>
      </rowBreaks>
      <pageMargins left="0" right="0" top="0" bottom="0" header="0.31496062992125984" footer="0.31496062992125984"/>
      <printOptions horizontalCentered="1"/>
      <pageSetup paperSize="9" scale="37" orientation="landscape" horizontalDpi="180" verticalDpi="180" r:id="rId2"/>
      <autoFilter ref="E12:E208"/>
    </customSheetView>
  </customSheetViews>
  <mergeCells count="15">
    <mergeCell ref="A1:V2"/>
    <mergeCell ref="A4:A6"/>
    <mergeCell ref="B4:B6"/>
    <mergeCell ref="C4:C6"/>
    <mergeCell ref="E4:E6"/>
    <mergeCell ref="D4:D6"/>
    <mergeCell ref="F5:I5"/>
    <mergeCell ref="F4:I4"/>
    <mergeCell ref="J4:M4"/>
    <mergeCell ref="J5:M5"/>
    <mergeCell ref="N4:Q4"/>
    <mergeCell ref="N5:Q5"/>
    <mergeCell ref="R4:U4"/>
    <mergeCell ref="R5:U5"/>
    <mergeCell ref="V4:V6"/>
  </mergeCells>
  <printOptions horizontalCentered="1"/>
  <pageMargins left="0" right="0" top="0" bottom="0" header="0.31496062992125984" footer="0.31496062992125984"/>
  <pageSetup paperSize="8" scale="52" orientation="landscape" horizontalDpi="180" verticalDpi="180"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CJ49"/>
  <sheetViews>
    <sheetView zoomScaleNormal="100" workbookViewId="0">
      <selection activeCell="R11" sqref="R11"/>
    </sheetView>
  </sheetViews>
  <sheetFormatPr defaultColWidth="8.85546875" defaultRowHeight="15"/>
  <cols>
    <col min="1" max="1" width="6.42578125" style="4" customWidth="1"/>
    <col min="2" max="2" width="56.42578125" style="5" customWidth="1"/>
    <col min="3" max="3" width="17.5703125" style="4" customWidth="1"/>
    <col min="4" max="4" width="15.5703125" style="8" customWidth="1"/>
    <col min="5" max="5" width="10.28515625" style="4" customWidth="1"/>
    <col min="6" max="6" width="50" style="3" hidden="1" customWidth="1"/>
    <col min="7" max="7" width="0" style="3" hidden="1" customWidth="1"/>
    <col min="8" max="8" width="8.85546875" style="3"/>
    <col min="9" max="9" width="6" style="3" customWidth="1"/>
    <col min="10" max="10" width="36.140625" style="97" customWidth="1"/>
    <col min="11" max="11" width="18.42578125" style="3" bestFit="1" customWidth="1"/>
    <col min="12" max="12" width="18.28515625" style="3" customWidth="1"/>
    <col min="13" max="13" width="9.140625" style="3" customWidth="1"/>
    <col min="14" max="14" width="18.42578125" style="3" bestFit="1" customWidth="1"/>
    <col min="15" max="15" width="9.7109375" style="3" bestFit="1" customWidth="1"/>
    <col min="16" max="16" width="9" style="3" bestFit="1" customWidth="1"/>
    <col min="17" max="88" width="8.85546875" style="3"/>
    <col min="89" max="16384" width="8.85546875" style="4"/>
  </cols>
  <sheetData>
    <row r="1" spans="1:88" ht="15" customHeight="1">
      <c r="A1" s="101" t="s">
        <v>344</v>
      </c>
      <c r="B1" s="101"/>
      <c r="C1" s="101"/>
      <c r="D1" s="101"/>
      <c r="E1" s="101"/>
    </row>
    <row r="2" spans="1:88" ht="37.5" customHeight="1">
      <c r="A2" s="101"/>
      <c r="B2" s="101"/>
      <c r="C2" s="101"/>
      <c r="D2" s="101"/>
      <c r="E2" s="101"/>
    </row>
    <row r="4" spans="1:88" ht="16.5" customHeight="1">
      <c r="A4" s="87" t="s">
        <v>0</v>
      </c>
      <c r="B4" s="88" t="s">
        <v>1</v>
      </c>
      <c r="C4" s="89" t="s">
        <v>259</v>
      </c>
      <c r="D4" s="89" t="s">
        <v>259</v>
      </c>
      <c r="E4" s="85" t="s">
        <v>322</v>
      </c>
      <c r="F4" s="86" t="s">
        <v>345</v>
      </c>
      <c r="G4" s="86" t="s">
        <v>346</v>
      </c>
      <c r="I4" s="122" t="s">
        <v>0</v>
      </c>
      <c r="J4" s="124" t="s">
        <v>1</v>
      </c>
      <c r="K4" s="126" t="s">
        <v>351</v>
      </c>
      <c r="L4" s="121" t="s">
        <v>352</v>
      </c>
      <c r="M4" s="121"/>
      <c r="N4" s="121" t="s">
        <v>354</v>
      </c>
      <c r="O4" s="121"/>
    </row>
    <row r="5" spans="1:88" ht="16.5" customHeight="1">
      <c r="A5" s="87"/>
      <c r="B5" s="94"/>
      <c r="C5" s="89"/>
      <c r="D5" s="89"/>
      <c r="E5" s="85"/>
      <c r="F5" s="86"/>
      <c r="G5" s="86"/>
      <c r="I5" s="123"/>
      <c r="J5" s="125"/>
      <c r="K5" s="127"/>
      <c r="L5" s="96" t="s">
        <v>353</v>
      </c>
      <c r="M5" s="96" t="s">
        <v>322</v>
      </c>
      <c r="N5" s="96" t="s">
        <v>353</v>
      </c>
      <c r="O5" s="96" t="s">
        <v>322</v>
      </c>
    </row>
    <row r="6" spans="1:88" ht="19.5">
      <c r="A6" s="14"/>
      <c r="B6" s="15" t="s">
        <v>10</v>
      </c>
      <c r="C6" s="16">
        <f>Лист1!F8/1000</f>
        <v>18641</v>
      </c>
      <c r="D6" s="16">
        <f>Лист1!J8/1000</f>
        <v>14656.4</v>
      </c>
      <c r="E6" s="17">
        <f>Лист1!V8</f>
        <v>0.78600000000000003</v>
      </c>
      <c r="F6" s="2"/>
      <c r="G6" s="2"/>
      <c r="I6" s="14"/>
      <c r="J6" s="73" t="s">
        <v>10</v>
      </c>
      <c r="K6" s="90">
        <f>C6</f>
        <v>18641</v>
      </c>
      <c r="L6" s="95">
        <f>D6</f>
        <v>14656.4</v>
      </c>
      <c r="M6" s="95">
        <f>L6/K6*100</f>
        <v>78.599999999999994</v>
      </c>
      <c r="N6" s="90">
        <v>5306.5</v>
      </c>
      <c r="O6" s="91">
        <f>N6/K6</f>
        <v>0.28499999999999998</v>
      </c>
      <c r="P6" s="18">
        <f>N6-L6</f>
        <v>-9349.9</v>
      </c>
    </row>
    <row r="7" spans="1:88" s="78" customFormat="1" ht="49.5">
      <c r="A7" s="19" t="s">
        <v>9</v>
      </c>
      <c r="B7" s="68" t="s">
        <v>107</v>
      </c>
      <c r="C7" s="50">
        <f>Лист1!F151/1000</f>
        <v>4411.8</v>
      </c>
      <c r="D7" s="50">
        <f>Лист1!J151/1000</f>
        <v>4238.8999999999996</v>
      </c>
      <c r="E7" s="51">
        <f>Лист1!V151/1000</f>
        <v>1E-3</v>
      </c>
      <c r="F7" s="2"/>
      <c r="G7" s="2"/>
      <c r="H7" s="3"/>
      <c r="I7" s="14" t="s">
        <v>9</v>
      </c>
      <c r="J7" s="73" t="s">
        <v>107</v>
      </c>
      <c r="K7" s="90">
        <f t="shared" ref="K7:K17" si="0">C7</f>
        <v>4411.8</v>
      </c>
      <c r="L7" s="90">
        <f t="shared" ref="L7:L17" si="1">D7</f>
        <v>4238.8999999999996</v>
      </c>
      <c r="M7" s="95">
        <f t="shared" ref="M7:M17" si="2">L7/K7*100</f>
        <v>96.1</v>
      </c>
      <c r="N7" s="92">
        <v>1692.4</v>
      </c>
      <c r="O7" s="91">
        <f t="shared" ref="O7:O17" si="3">N7/K7</f>
        <v>0.38400000000000001</v>
      </c>
      <c r="P7" s="18">
        <f t="shared" ref="P7:P17" si="4">N7-L7</f>
        <v>-2546.5</v>
      </c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</row>
    <row r="8" spans="1:88" ht="33">
      <c r="A8" s="19" t="s">
        <v>33</v>
      </c>
      <c r="B8" s="20" t="s">
        <v>11</v>
      </c>
      <c r="C8" s="22">
        <f>Лист1!F9/1000</f>
        <v>4478.6000000000004</v>
      </c>
      <c r="D8" s="22">
        <f>Лист1!J9/1000</f>
        <v>4011.9</v>
      </c>
      <c r="E8" s="23">
        <f>Лист1!V9/1000</f>
        <v>1E-3</v>
      </c>
      <c r="F8" s="2"/>
      <c r="G8" s="2"/>
      <c r="I8" s="14" t="s">
        <v>33</v>
      </c>
      <c r="J8" s="73" t="s">
        <v>11</v>
      </c>
      <c r="K8" s="90">
        <f t="shared" si="0"/>
        <v>4478.6000000000004</v>
      </c>
      <c r="L8" s="90">
        <f t="shared" si="1"/>
        <v>4011.9</v>
      </c>
      <c r="M8" s="95">
        <f t="shared" si="2"/>
        <v>89.6</v>
      </c>
      <c r="N8" s="93">
        <v>2032.2</v>
      </c>
      <c r="O8" s="91">
        <f t="shared" si="3"/>
        <v>0.45400000000000001</v>
      </c>
      <c r="P8" s="18">
        <f t="shared" si="4"/>
        <v>-1979.7</v>
      </c>
    </row>
    <row r="9" spans="1:88" ht="33">
      <c r="A9" s="21">
        <v>3</v>
      </c>
      <c r="B9" s="48" t="s">
        <v>34</v>
      </c>
      <c r="C9" s="50">
        <f>Лист1!F42/1000</f>
        <v>4081.4</v>
      </c>
      <c r="D9" s="50">
        <f>Лист1!J42/1000</f>
        <v>1821</v>
      </c>
      <c r="E9" s="51">
        <f>Лист1!V42/1000</f>
        <v>0</v>
      </c>
      <c r="F9" s="2"/>
      <c r="G9" s="2"/>
      <c r="I9" s="14">
        <v>3</v>
      </c>
      <c r="J9" s="98" t="s">
        <v>34</v>
      </c>
      <c r="K9" s="90">
        <f t="shared" si="0"/>
        <v>4081.4</v>
      </c>
      <c r="L9" s="90">
        <f t="shared" si="1"/>
        <v>1821</v>
      </c>
      <c r="M9" s="95">
        <f t="shared" si="2"/>
        <v>44.6</v>
      </c>
      <c r="N9" s="92">
        <v>350.4</v>
      </c>
      <c r="O9" s="91">
        <f t="shared" si="3"/>
        <v>8.5999999999999993E-2</v>
      </c>
      <c r="P9" s="18">
        <f t="shared" si="4"/>
        <v>-1470.6</v>
      </c>
    </row>
    <row r="10" spans="1:88" s="78" customFormat="1" ht="33">
      <c r="A10" s="19" t="s">
        <v>67</v>
      </c>
      <c r="B10" s="68" t="s">
        <v>85</v>
      </c>
      <c r="C10" s="50">
        <f>Лист1!F120/1000</f>
        <v>2554.1999999999998</v>
      </c>
      <c r="D10" s="50">
        <f>Лист1!J120/1000</f>
        <v>1683.6</v>
      </c>
      <c r="E10" s="51">
        <f>Лист1!V120/1000</f>
        <v>1E-3</v>
      </c>
      <c r="F10" s="2"/>
      <c r="G10" s="2"/>
      <c r="H10" s="3"/>
      <c r="I10" s="14" t="s">
        <v>84</v>
      </c>
      <c r="J10" s="73" t="s">
        <v>85</v>
      </c>
      <c r="K10" s="90">
        <f t="shared" si="0"/>
        <v>2554.1999999999998</v>
      </c>
      <c r="L10" s="90">
        <f t="shared" si="1"/>
        <v>1683.6</v>
      </c>
      <c r="M10" s="95">
        <f t="shared" si="2"/>
        <v>65.900000000000006</v>
      </c>
      <c r="N10" s="92">
        <v>548.5</v>
      </c>
      <c r="O10" s="91">
        <f t="shared" si="3"/>
        <v>0.215</v>
      </c>
      <c r="P10" s="18">
        <f t="shared" si="4"/>
        <v>-1135.0999999999999</v>
      </c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</row>
    <row r="11" spans="1:88" ht="33">
      <c r="A11" s="19" t="s">
        <v>84</v>
      </c>
      <c r="B11" s="20" t="s">
        <v>47</v>
      </c>
      <c r="C11" s="50">
        <f>Лист1!F60/1000</f>
        <v>2500.9</v>
      </c>
      <c r="D11" s="50">
        <f>Лист1!J60/1000</f>
        <v>2287.1999999999998</v>
      </c>
      <c r="E11" s="51">
        <f>Лист1!V60/1000</f>
        <v>1E-3</v>
      </c>
      <c r="F11" s="30"/>
      <c r="G11" s="2"/>
      <c r="I11" s="14" t="s">
        <v>67</v>
      </c>
      <c r="J11" s="73" t="s">
        <v>47</v>
      </c>
      <c r="K11" s="90">
        <f t="shared" si="0"/>
        <v>2500.9</v>
      </c>
      <c r="L11" s="90">
        <f t="shared" si="1"/>
        <v>2287.1999999999998</v>
      </c>
      <c r="M11" s="95">
        <f t="shared" si="2"/>
        <v>91.5</v>
      </c>
      <c r="N11" s="92">
        <v>355</v>
      </c>
      <c r="O11" s="91">
        <f t="shared" si="3"/>
        <v>0.14199999999999999</v>
      </c>
      <c r="P11" s="18">
        <f t="shared" si="4"/>
        <v>-1932.2</v>
      </c>
    </row>
    <row r="12" spans="1:88" s="78" customFormat="1" ht="33">
      <c r="A12" s="19" t="s">
        <v>90</v>
      </c>
      <c r="B12" s="20" t="s">
        <v>91</v>
      </c>
      <c r="C12" s="50">
        <f>Лист1!F137/1000</f>
        <v>222.5</v>
      </c>
      <c r="D12" s="50">
        <f>Лист1!J137/1000</f>
        <v>222.4</v>
      </c>
      <c r="E12" s="51">
        <f>Лист1!V137/1000</f>
        <v>1E-3</v>
      </c>
      <c r="F12" s="2"/>
      <c r="G12" s="2"/>
      <c r="H12" s="3"/>
      <c r="I12" s="14" t="s">
        <v>90</v>
      </c>
      <c r="J12" s="73" t="s">
        <v>91</v>
      </c>
      <c r="K12" s="90">
        <f t="shared" si="0"/>
        <v>222.5</v>
      </c>
      <c r="L12" s="90">
        <f t="shared" si="1"/>
        <v>222.4</v>
      </c>
      <c r="M12" s="95">
        <f t="shared" si="2"/>
        <v>100</v>
      </c>
      <c r="N12" s="92">
        <v>120.2</v>
      </c>
      <c r="O12" s="91">
        <f t="shared" si="3"/>
        <v>0.54</v>
      </c>
      <c r="P12" s="18">
        <f t="shared" si="4"/>
        <v>-102.2</v>
      </c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</row>
    <row r="13" spans="1:88" s="78" customFormat="1" ht="82.5">
      <c r="A13" s="19" t="s">
        <v>106</v>
      </c>
      <c r="B13" s="68" t="s">
        <v>121</v>
      </c>
      <c r="C13" s="50">
        <f>Лист1!F184/1000</f>
        <v>180.5</v>
      </c>
      <c r="D13" s="50">
        <f>Лист1!J184/1000</f>
        <v>180.5</v>
      </c>
      <c r="E13" s="51">
        <f>Лист1!V184/1000</f>
        <v>1E-3</v>
      </c>
      <c r="F13" s="2"/>
      <c r="G13" s="2"/>
      <c r="H13" s="3"/>
      <c r="I13" s="14" t="s">
        <v>106</v>
      </c>
      <c r="J13" s="73" t="s">
        <v>121</v>
      </c>
      <c r="K13" s="90">
        <f t="shared" si="0"/>
        <v>180.5</v>
      </c>
      <c r="L13" s="90">
        <f t="shared" si="1"/>
        <v>180.5</v>
      </c>
      <c r="M13" s="95">
        <f t="shared" si="2"/>
        <v>100</v>
      </c>
      <c r="N13" s="92">
        <v>145.1</v>
      </c>
      <c r="O13" s="91">
        <f t="shared" si="3"/>
        <v>0.80400000000000005</v>
      </c>
      <c r="P13" s="18">
        <f t="shared" si="4"/>
        <v>-35.4</v>
      </c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</row>
    <row r="14" spans="1:88" s="78" customFormat="1" ht="33">
      <c r="A14" s="19" t="s">
        <v>111</v>
      </c>
      <c r="B14" s="20" t="s">
        <v>112</v>
      </c>
      <c r="C14" s="50">
        <f>Лист1!F165/1000</f>
        <v>119</v>
      </c>
      <c r="D14" s="50">
        <f>Лист1!J165/1000</f>
        <v>118.7</v>
      </c>
      <c r="E14" s="51">
        <f>Лист1!V165/1000</f>
        <v>1E-3</v>
      </c>
      <c r="F14" s="2"/>
      <c r="G14" s="2"/>
      <c r="H14" s="3"/>
      <c r="I14" s="14" t="s">
        <v>111</v>
      </c>
      <c r="J14" s="73" t="s">
        <v>112</v>
      </c>
      <c r="K14" s="90">
        <f t="shared" si="0"/>
        <v>119</v>
      </c>
      <c r="L14" s="90">
        <f t="shared" si="1"/>
        <v>118.7</v>
      </c>
      <c r="M14" s="95">
        <f t="shared" si="2"/>
        <v>99.7</v>
      </c>
      <c r="N14" s="92">
        <v>46</v>
      </c>
      <c r="O14" s="91">
        <f t="shared" si="3"/>
        <v>0.38700000000000001</v>
      </c>
      <c r="P14" s="18">
        <f t="shared" si="4"/>
        <v>-72.7</v>
      </c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</row>
    <row r="15" spans="1:88" ht="33">
      <c r="A15" s="19" t="s">
        <v>120</v>
      </c>
      <c r="B15" s="68" t="s">
        <v>68</v>
      </c>
      <c r="C15" s="50">
        <f>Лист1!F98/1000</f>
        <v>43.3</v>
      </c>
      <c r="D15" s="50">
        <f>Лист1!J98/1000</f>
        <v>43.3</v>
      </c>
      <c r="E15" s="51">
        <f>Лист1!V98/1000</f>
        <v>1E-3</v>
      </c>
      <c r="F15" s="2"/>
      <c r="G15" s="2"/>
      <c r="I15" s="14" t="s">
        <v>120</v>
      </c>
      <c r="J15" s="73" t="s">
        <v>68</v>
      </c>
      <c r="K15" s="90">
        <f t="shared" si="0"/>
        <v>43.3</v>
      </c>
      <c r="L15" s="90">
        <f t="shared" si="1"/>
        <v>43.3</v>
      </c>
      <c r="M15" s="95">
        <f t="shared" si="2"/>
        <v>100</v>
      </c>
      <c r="N15" s="92">
        <v>4.3</v>
      </c>
      <c r="O15" s="91">
        <f t="shared" si="3"/>
        <v>9.9000000000000005E-2</v>
      </c>
      <c r="P15" s="18">
        <f t="shared" si="4"/>
        <v>-39</v>
      </c>
    </row>
    <row r="16" spans="1:88" s="78" customFormat="1" ht="49.5">
      <c r="A16" s="68">
        <v>10</v>
      </c>
      <c r="B16" s="68" t="s">
        <v>257</v>
      </c>
      <c r="C16" s="50">
        <f>Лист1!F210/1000</f>
        <v>30</v>
      </c>
      <c r="D16" s="50">
        <f>Лист1!J210/1000</f>
        <v>30</v>
      </c>
      <c r="E16" s="51">
        <f>Лист1!V210/1000</f>
        <v>1E-3</v>
      </c>
      <c r="F16" s="2"/>
      <c r="G16" s="2"/>
      <c r="H16" s="3"/>
      <c r="I16" s="14">
        <v>10</v>
      </c>
      <c r="J16" s="73" t="s">
        <v>257</v>
      </c>
      <c r="K16" s="90">
        <f t="shared" si="0"/>
        <v>30</v>
      </c>
      <c r="L16" s="90">
        <f t="shared" si="1"/>
        <v>30</v>
      </c>
      <c r="M16" s="95">
        <f t="shared" si="2"/>
        <v>100</v>
      </c>
      <c r="N16" s="92">
        <v>0</v>
      </c>
      <c r="O16" s="91">
        <f t="shared" si="3"/>
        <v>0</v>
      </c>
      <c r="P16" s="18">
        <f t="shared" si="4"/>
        <v>-30</v>
      </c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</row>
    <row r="17" spans="1:88" s="78" customFormat="1" ht="49.5">
      <c r="A17" s="19" t="s">
        <v>350</v>
      </c>
      <c r="B17" s="68" t="s">
        <v>129</v>
      </c>
      <c r="C17" s="50">
        <f>Лист1!F205/1000</f>
        <v>18.899999999999999</v>
      </c>
      <c r="D17" s="50">
        <f>Лист1!J205/1000</f>
        <v>18.899999999999999</v>
      </c>
      <c r="E17" s="51">
        <f>Лист1!V205/1000</f>
        <v>1E-3</v>
      </c>
      <c r="F17" s="2"/>
      <c r="G17" s="2"/>
      <c r="H17" s="3"/>
      <c r="I17" s="14" t="s">
        <v>350</v>
      </c>
      <c r="J17" s="73" t="s">
        <v>129</v>
      </c>
      <c r="K17" s="90">
        <f t="shared" si="0"/>
        <v>18.899999999999999</v>
      </c>
      <c r="L17" s="90">
        <f t="shared" si="1"/>
        <v>18.899999999999999</v>
      </c>
      <c r="M17" s="95">
        <f t="shared" si="2"/>
        <v>100</v>
      </c>
      <c r="N17" s="92">
        <v>12.4</v>
      </c>
      <c r="O17" s="91">
        <f t="shared" si="3"/>
        <v>0.65600000000000003</v>
      </c>
      <c r="P17" s="18">
        <f t="shared" si="4"/>
        <v>-6.5</v>
      </c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</row>
    <row r="18" spans="1:88" ht="22.15" customHeight="1">
      <c r="C18" s="3"/>
      <c r="D18" s="3"/>
      <c r="E18" s="3"/>
      <c r="I18" s="4"/>
      <c r="J18" s="99"/>
      <c r="K18" s="4"/>
      <c r="L18" s="4"/>
      <c r="M18" s="4"/>
      <c r="N18" s="4"/>
      <c r="O18" s="4"/>
    </row>
    <row r="19" spans="1:88" ht="22.15" customHeight="1">
      <c r="C19" s="3"/>
      <c r="D19" s="3">
        <v>4395</v>
      </c>
      <c r="E19" s="3"/>
      <c r="K19" s="3">
        <f>N19-D19</f>
        <v>672.3</v>
      </c>
      <c r="N19" s="3">
        <v>5067.3</v>
      </c>
    </row>
    <row r="20" spans="1:88" ht="22.15" customHeight="1">
      <c r="C20" s="3"/>
      <c r="D20" s="3"/>
      <c r="E20" s="3"/>
    </row>
    <row r="21" spans="1:88" ht="21" customHeight="1">
      <c r="C21" s="3"/>
      <c r="D21" s="3"/>
      <c r="E21" s="3"/>
    </row>
    <row r="22" spans="1:88" ht="21" customHeight="1">
      <c r="C22" s="3"/>
      <c r="D22" s="3"/>
      <c r="E22" s="3"/>
    </row>
    <row r="23" spans="1:88" ht="21" customHeight="1">
      <c r="C23" s="3"/>
      <c r="D23" s="3"/>
      <c r="E23" s="3"/>
    </row>
    <row r="24" spans="1:88" ht="21" customHeight="1">
      <c r="C24" s="3"/>
      <c r="D24" s="3"/>
      <c r="E24" s="3"/>
    </row>
    <row r="25" spans="1:88" ht="17.45" customHeight="1">
      <c r="C25" s="3"/>
      <c r="D25" s="3"/>
      <c r="E25" s="3"/>
    </row>
    <row r="26" spans="1:88" ht="16.149999999999999" customHeight="1">
      <c r="C26" s="3"/>
      <c r="D26" s="3"/>
      <c r="E26" s="3"/>
    </row>
    <row r="27" spans="1:88" ht="17.45" customHeight="1">
      <c r="C27" s="3"/>
      <c r="D27" s="3"/>
      <c r="E27" s="3"/>
    </row>
    <row r="28" spans="1:88" ht="20.45" customHeight="1">
      <c r="C28" s="3"/>
      <c r="D28" s="3"/>
      <c r="E28" s="3"/>
    </row>
    <row r="29" spans="1:88" ht="16.149999999999999" customHeight="1">
      <c r="C29" s="3"/>
      <c r="D29" s="3"/>
      <c r="E29" s="3"/>
    </row>
    <row r="30" spans="1:88" ht="17.45" customHeight="1">
      <c r="C30" s="3"/>
      <c r="D30" s="3"/>
      <c r="E30" s="3"/>
    </row>
    <row r="31" spans="1:88" ht="17.45" customHeight="1">
      <c r="C31" s="3"/>
      <c r="D31" s="3"/>
      <c r="E31" s="3"/>
    </row>
    <row r="32" spans="1:88">
      <c r="C32" s="3"/>
      <c r="D32" s="3"/>
      <c r="E32" s="3"/>
    </row>
    <row r="33" spans="3:5">
      <c r="C33" s="3"/>
      <c r="D33" s="3"/>
      <c r="E33" s="3"/>
    </row>
    <row r="34" spans="3:5">
      <c r="C34" s="3"/>
      <c r="D34" s="3"/>
      <c r="E34" s="3"/>
    </row>
    <row r="35" spans="3:5">
      <c r="C35" s="3"/>
      <c r="D35" s="3"/>
      <c r="E35" s="3"/>
    </row>
    <row r="36" spans="3:5">
      <c r="C36" s="3"/>
      <c r="D36" s="3"/>
      <c r="E36" s="3"/>
    </row>
    <row r="37" spans="3:5">
      <c r="C37" s="3"/>
      <c r="D37" s="3"/>
      <c r="E37" s="3"/>
    </row>
    <row r="38" spans="3:5">
      <c r="C38" s="3"/>
      <c r="D38" s="3"/>
      <c r="E38" s="3"/>
    </row>
    <row r="39" spans="3:5">
      <c r="C39" s="3"/>
      <c r="D39" s="3"/>
      <c r="E39" s="3"/>
    </row>
    <row r="40" spans="3:5">
      <c r="C40" s="3"/>
      <c r="D40" s="3"/>
      <c r="E40" s="3"/>
    </row>
    <row r="41" spans="3:5">
      <c r="C41" s="3"/>
      <c r="D41" s="3"/>
      <c r="E41" s="3"/>
    </row>
    <row r="42" spans="3:5">
      <c r="C42" s="3"/>
      <c r="D42" s="3"/>
      <c r="E42" s="3"/>
    </row>
    <row r="43" spans="3:5">
      <c r="C43" s="3"/>
      <c r="D43" s="3"/>
      <c r="E43" s="3"/>
    </row>
    <row r="44" spans="3:5">
      <c r="C44" s="3"/>
      <c r="D44" s="3"/>
      <c r="E44" s="3"/>
    </row>
    <row r="45" spans="3:5">
      <c r="C45" s="3"/>
      <c r="D45" s="3"/>
      <c r="E45" s="3"/>
    </row>
    <row r="46" spans="3:5">
      <c r="C46" s="3"/>
      <c r="D46" s="3"/>
      <c r="E46" s="3"/>
    </row>
    <row r="47" spans="3:5">
      <c r="C47" s="3"/>
      <c r="D47" s="3"/>
      <c r="E47" s="3"/>
    </row>
    <row r="48" spans="3:5">
      <c r="C48" s="3"/>
      <c r="D48" s="3"/>
      <c r="E48" s="3"/>
    </row>
    <row r="49" spans="3:5">
      <c r="C49" s="3"/>
      <c r="D49" s="3"/>
      <c r="E49" s="3"/>
    </row>
  </sheetData>
  <mergeCells count="6">
    <mergeCell ref="N4:O4"/>
    <mergeCell ref="A1:E2"/>
    <mergeCell ref="I4:I5"/>
    <mergeCell ref="J4:J5"/>
    <mergeCell ref="K4:K5"/>
    <mergeCell ref="L4:M4"/>
  </mergeCells>
  <pageMargins left="0.7" right="0.7" top="0.75" bottom="0.75" header="0.3" footer="0.3"/>
  <pageSetup paperSize="9" scale="70" orientation="portrait" r:id="rId1"/>
  <colBreaks count="1" manualBreakCount="1">
    <brk id="8" max="1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Лист1</vt:lpstr>
      <vt:lpstr>Лист2</vt:lpstr>
      <vt:lpstr>Лист1!Заголовки_для_печати</vt:lpstr>
      <vt:lpstr>Лист1!Область_печати</vt:lpstr>
      <vt:lpstr>Лист2!Область_печати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Наговицына Мария Александровна (nma)</dc:creator>
  <cp:lastModifiedBy>nma</cp:lastModifiedBy>
  <cp:lastPrinted>2021-11-09T02:14:22Z</cp:lastPrinted>
  <dcterms:created xsi:type="dcterms:W3CDTF">2006-09-28T05:33:49Z</dcterms:created>
  <dcterms:modified xsi:type="dcterms:W3CDTF">2022-01-11T09:36:44Z</dcterms:modified>
</cp:coreProperties>
</file>