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525" yWindow="1050" windowWidth="21045" windowHeight="11790"/>
  </bookViews>
  <sheets>
    <sheet name="Лист1" sheetId="1" r:id="rId1"/>
    <sheet name="Лист2" sheetId="2" r:id="rId2"/>
  </sheets>
  <definedNames>
    <definedName name="_xlnm._FilterDatabase" localSheetId="0" hidden="1">Лист1!$A$7:$V$214</definedName>
    <definedName name="Z_8DBC8541_9868_41A7_9A9F_A27FC80CBA37_.wvu.FilterData" localSheetId="0" hidden="1">Лист1!$E$12:$E$214</definedName>
    <definedName name="Z_8DBC8541_9868_41A7_9A9F_A27FC80CBA37_.wvu.PrintArea" localSheetId="0" hidden="1">Лист1!$A$1:$V$214</definedName>
    <definedName name="Z_8DBC8541_9868_41A7_9A9F_A27FC80CBA37_.wvu.PrintTitles" localSheetId="0" hidden="1">Лист1!$4:$7</definedName>
    <definedName name="Z_FE09AB06_1ECE_4486_BCA1_E9D85830708B_.wvu.FilterData" localSheetId="0" hidden="1">Лист1!$E$12:$E$214</definedName>
    <definedName name="Z_FE09AB06_1ECE_4486_BCA1_E9D85830708B_.wvu.PrintArea" localSheetId="0" hidden="1">Лист1!$A$1:$V$214</definedName>
    <definedName name="Z_FE09AB06_1ECE_4486_BCA1_E9D85830708B_.wvu.PrintTitles" localSheetId="0" hidden="1">Лист1!$4:$7</definedName>
    <definedName name="_xlnm.Print_Titles" localSheetId="0">Лист1!$4:$7</definedName>
    <definedName name="_xlnm.Print_Area" localSheetId="0">Лист1!$A$1:$V$214</definedName>
    <definedName name="_xlnm.Print_Area" localSheetId="1">Лист2!$A$1:$O$19</definedName>
  </definedNames>
  <calcPr calcId="125725" fullPrecision="0"/>
  <customWorkbookViews>
    <customWorkbookView name="gmp - Личное представление" guid="{8DBC8541-9868-41A7-9A9F-A27FC80CBA37}" mergeInterval="0" personalView="1" maximized="1" xWindow="1" yWindow="1" windowWidth="1916" windowHeight="845" activeSheetId="2"/>
    <customWorkbookView name="nma - Личное представление" guid="{FE09AB06-1ECE-4486-BCA1-E9D85830708B}" mergeInterval="0" personalView="1" maximized="1" xWindow="1" yWindow="1" windowWidth="1916" windowHeight="850" activeSheetId="1"/>
  </customWorkbookViews>
</workbook>
</file>

<file path=xl/calcChain.xml><?xml version="1.0" encoding="utf-8"?>
<calcChain xmlns="http://schemas.openxmlformats.org/spreadsheetml/2006/main">
  <c r="K127" i="1"/>
  <c r="K93" l="1"/>
  <c r="K83"/>
  <c r="K71"/>
  <c r="K67"/>
  <c r="L78"/>
  <c r="K76"/>
  <c r="L33"/>
  <c r="K33"/>
  <c r="L57"/>
  <c r="L50"/>
  <c r="L149"/>
  <c r="L118"/>
  <c r="L135"/>
  <c r="L153"/>
  <c r="L141"/>
  <c r="L139"/>
  <c r="L125"/>
  <c r="L122"/>
  <c r="L130"/>
  <c r="L38"/>
  <c r="L40"/>
  <c r="L180"/>
  <c r="L167"/>
  <c r="L173"/>
  <c r="L32"/>
  <c r="L84"/>
  <c r="L83"/>
  <c r="L63"/>
  <c r="L71"/>
  <c r="L67"/>
  <c r="L62"/>
  <c r="L27"/>
  <c r="L25"/>
  <c r="L49"/>
  <c r="L46"/>
  <c r="H212"/>
  <c r="L189"/>
  <c r="L186"/>
  <c r="K27"/>
  <c r="K149"/>
  <c r="K118"/>
  <c r="K135"/>
  <c r="K159"/>
  <c r="K157"/>
  <c r="K153"/>
  <c r="K122"/>
  <c r="K130"/>
  <c r="K39"/>
  <c r="K40"/>
  <c r="K180"/>
  <c r="K167"/>
  <c r="K32"/>
  <c r="K34"/>
  <c r="K92"/>
  <c r="K79"/>
  <c r="K84"/>
  <c r="K85"/>
  <c r="K69"/>
  <c r="K63"/>
  <c r="K62"/>
  <c r="K25"/>
  <c r="K24"/>
  <c r="K50"/>
  <c r="K44"/>
  <c r="K193"/>
  <c r="K189"/>
  <c r="K207"/>
  <c r="K206"/>
  <c r="K186"/>
  <c r="G212"/>
  <c r="G163"/>
  <c r="S153"/>
  <c r="O153"/>
  <c r="G153"/>
  <c r="P101" l="1"/>
  <c r="Q101"/>
  <c r="O101"/>
  <c r="L101"/>
  <c r="M101"/>
  <c r="K101"/>
  <c r="H101"/>
  <c r="I101"/>
  <c r="G101"/>
  <c r="G103"/>
  <c r="F103" s="1"/>
  <c r="V103" s="1"/>
  <c r="J103"/>
  <c r="N103"/>
  <c r="R103"/>
  <c r="G104"/>
  <c r="G123"/>
  <c r="F123" s="1"/>
  <c r="L140" l="1"/>
  <c r="L17"/>
  <c r="L75"/>
  <c r="K17" l="1"/>
  <c r="K179"/>
  <c r="K75"/>
  <c r="K23"/>
  <c r="K57"/>
  <c r="G127"/>
  <c r="F10" l="1"/>
  <c r="G10"/>
  <c r="F14"/>
  <c r="V14" s="1"/>
  <c r="J14"/>
  <c r="N14"/>
  <c r="R14"/>
  <c r="F65"/>
  <c r="J65"/>
  <c r="N65"/>
  <c r="R65"/>
  <c r="F66"/>
  <c r="J66"/>
  <c r="N66"/>
  <c r="R66"/>
  <c r="G135"/>
  <c r="G134"/>
  <c r="G15"/>
  <c r="V66" l="1"/>
  <c r="V65"/>
  <c r="G34"/>
  <c r="G33"/>
  <c r="G30"/>
  <c r="O68"/>
  <c r="G24"/>
  <c r="G44"/>
  <c r="G206"/>
  <c r="K19" i="2"/>
  <c r="L77" i="1" l="1"/>
  <c r="L35"/>
  <c r="K114"/>
  <c r="K111" l="1"/>
  <c r="J34"/>
  <c r="K78"/>
  <c r="K80"/>
  <c r="K77"/>
  <c r="K21"/>
  <c r="K35"/>
  <c r="G114"/>
  <c r="G94"/>
  <c r="G80"/>
  <c r="G64"/>
  <c r="R34"/>
  <c r="N34"/>
  <c r="I28" l="1"/>
  <c r="K94" l="1"/>
  <c r="K22"/>
  <c r="H199" l="1"/>
  <c r="H198"/>
  <c r="F171"/>
  <c r="J171"/>
  <c r="N171"/>
  <c r="R171"/>
  <c r="G168"/>
  <c r="S91"/>
  <c r="O91"/>
  <c r="G91"/>
  <c r="S95"/>
  <c r="O95"/>
  <c r="G95"/>
  <c r="F70"/>
  <c r="V70" s="1"/>
  <c r="J70"/>
  <c r="N70"/>
  <c r="R70"/>
  <c r="G199"/>
  <c r="G198"/>
  <c r="L45"/>
  <c r="K126"/>
  <c r="K45"/>
  <c r="G190"/>
  <c r="H185"/>
  <c r="H186"/>
  <c r="T192"/>
  <c r="P192"/>
  <c r="H192"/>
  <c r="T190"/>
  <c r="P190"/>
  <c r="H190"/>
  <c r="T191"/>
  <c r="P191"/>
  <c r="P187" s="1"/>
  <c r="H191"/>
  <c r="P125"/>
  <c r="H125"/>
  <c r="S192"/>
  <c r="O192"/>
  <c r="O187" s="1"/>
  <c r="G192"/>
  <c r="S191"/>
  <c r="S187" s="1"/>
  <c r="O191"/>
  <c r="G191"/>
  <c r="S190"/>
  <c r="O190"/>
  <c r="U187"/>
  <c r="T187"/>
  <c r="Q187"/>
  <c r="L187"/>
  <c r="M187"/>
  <c r="K187"/>
  <c r="I187"/>
  <c r="F189"/>
  <c r="J189"/>
  <c r="N189"/>
  <c r="R189"/>
  <c r="G195"/>
  <c r="F196"/>
  <c r="J196"/>
  <c r="N196"/>
  <c r="R196"/>
  <c r="G186"/>
  <c r="G185"/>
  <c r="V171" l="1"/>
  <c r="V196"/>
  <c r="V189"/>
  <c r="G187"/>
  <c r="H187"/>
  <c r="G20"/>
  <c r="F187" l="1"/>
  <c r="K131"/>
  <c r="G53"/>
  <c r="H57"/>
  <c r="T131"/>
  <c r="U131"/>
  <c r="S131"/>
  <c r="P131"/>
  <c r="Q131"/>
  <c r="O131"/>
  <c r="L131"/>
  <c r="M131"/>
  <c r="H131"/>
  <c r="I131"/>
  <c r="G131"/>
  <c r="F134"/>
  <c r="J134"/>
  <c r="N134"/>
  <c r="R134"/>
  <c r="F131" l="1"/>
  <c r="V134"/>
  <c r="F31"/>
  <c r="J31"/>
  <c r="N31"/>
  <c r="R31"/>
  <c r="S113"/>
  <c r="O113"/>
  <c r="G113"/>
  <c r="R126"/>
  <c r="N126"/>
  <c r="J126"/>
  <c r="F126"/>
  <c r="M10"/>
  <c r="H10"/>
  <c r="R16"/>
  <c r="N16"/>
  <c r="J16"/>
  <c r="F16"/>
  <c r="U60"/>
  <c r="T60"/>
  <c r="Q60"/>
  <c r="P60"/>
  <c r="L60"/>
  <c r="M60"/>
  <c r="K60"/>
  <c r="G69"/>
  <c r="I60"/>
  <c r="H60"/>
  <c r="G60"/>
  <c r="R72"/>
  <c r="N72"/>
  <c r="J72"/>
  <c r="F72"/>
  <c r="G57"/>
  <c r="S212"/>
  <c r="O212"/>
  <c r="G194"/>
  <c r="G202"/>
  <c r="H153"/>
  <c r="V16" l="1"/>
  <c r="V72"/>
  <c r="V126"/>
  <c r="H53"/>
  <c r="F71" l="1"/>
  <c r="J71"/>
  <c r="N71"/>
  <c r="R71"/>
  <c r="V71" l="1"/>
  <c r="G36"/>
  <c r="G28" l="1"/>
  <c r="F34"/>
  <c r="G147" l="1"/>
  <c r="G146"/>
  <c r="F146" s="1"/>
  <c r="F125"/>
  <c r="R212"/>
  <c r="R211"/>
  <c r="R207"/>
  <c r="R206"/>
  <c r="R202"/>
  <c r="R199"/>
  <c r="R198"/>
  <c r="R197"/>
  <c r="R195"/>
  <c r="R194"/>
  <c r="R193"/>
  <c r="R192"/>
  <c r="R191"/>
  <c r="R190"/>
  <c r="R186"/>
  <c r="R185"/>
  <c r="R181"/>
  <c r="R180"/>
  <c r="R179"/>
  <c r="R176"/>
  <c r="R173"/>
  <c r="R172"/>
  <c r="R170"/>
  <c r="R169"/>
  <c r="R168"/>
  <c r="R167"/>
  <c r="R163"/>
  <c r="R162"/>
  <c r="R159"/>
  <c r="R158"/>
  <c r="R157"/>
  <c r="R156"/>
  <c r="R153"/>
  <c r="R149"/>
  <c r="R146"/>
  <c r="R145"/>
  <c r="R141"/>
  <c r="R140"/>
  <c r="R139"/>
  <c r="R135"/>
  <c r="R133"/>
  <c r="R130"/>
  <c r="R127"/>
  <c r="R125"/>
  <c r="R122"/>
  <c r="R118"/>
  <c r="R117"/>
  <c r="R114"/>
  <c r="R113"/>
  <c r="R112"/>
  <c r="R111"/>
  <c r="R108"/>
  <c r="R107"/>
  <c r="R104"/>
  <c r="R100"/>
  <c r="R96"/>
  <c r="R95"/>
  <c r="R94"/>
  <c r="R93"/>
  <c r="R92"/>
  <c r="R91"/>
  <c r="R88"/>
  <c r="R87"/>
  <c r="R86"/>
  <c r="R85"/>
  <c r="R84"/>
  <c r="R83"/>
  <c r="R80"/>
  <c r="R79"/>
  <c r="R78"/>
  <c r="R77"/>
  <c r="R76"/>
  <c r="R75"/>
  <c r="R69"/>
  <c r="R68"/>
  <c r="R67"/>
  <c r="R64"/>
  <c r="R63"/>
  <c r="R62"/>
  <c r="R58"/>
  <c r="R57"/>
  <c r="R56"/>
  <c r="R53"/>
  <c r="R50"/>
  <c r="R49"/>
  <c r="R46"/>
  <c r="R45"/>
  <c r="R44"/>
  <c r="R40"/>
  <c r="R39"/>
  <c r="R38"/>
  <c r="R35"/>
  <c r="R33"/>
  <c r="R32"/>
  <c r="R30"/>
  <c r="R27"/>
  <c r="R26"/>
  <c r="R25"/>
  <c r="R24"/>
  <c r="R23"/>
  <c r="R22"/>
  <c r="R21"/>
  <c r="R20"/>
  <c r="R17"/>
  <c r="R15"/>
  <c r="R13"/>
  <c r="R12"/>
  <c r="U209"/>
  <c r="U208" s="1"/>
  <c r="U204"/>
  <c r="U203" s="1"/>
  <c r="U200"/>
  <c r="U183"/>
  <c r="U177"/>
  <c r="U174"/>
  <c r="U165"/>
  <c r="U160"/>
  <c r="U154"/>
  <c r="U151"/>
  <c r="U147"/>
  <c r="U143"/>
  <c r="U137"/>
  <c r="U128"/>
  <c r="U120"/>
  <c r="U115"/>
  <c r="U109"/>
  <c r="U105"/>
  <c r="U101"/>
  <c r="U98"/>
  <c r="U89"/>
  <c r="U81"/>
  <c r="U73"/>
  <c r="U54"/>
  <c r="U51"/>
  <c r="U47"/>
  <c r="U42"/>
  <c r="U36"/>
  <c r="U28"/>
  <c r="U18"/>
  <c r="U10"/>
  <c r="N12"/>
  <c r="N212"/>
  <c r="N211"/>
  <c r="N207"/>
  <c r="N206"/>
  <c r="N202"/>
  <c r="N199"/>
  <c r="N198"/>
  <c r="N197"/>
  <c r="N195"/>
  <c r="N194"/>
  <c r="N193"/>
  <c r="N192"/>
  <c r="N191"/>
  <c r="N190"/>
  <c r="N186"/>
  <c r="N185"/>
  <c r="N181"/>
  <c r="N180"/>
  <c r="N179"/>
  <c r="N176"/>
  <c r="N173"/>
  <c r="N172"/>
  <c r="N170"/>
  <c r="N169"/>
  <c r="N168"/>
  <c r="N167"/>
  <c r="N163"/>
  <c r="N162"/>
  <c r="N159"/>
  <c r="N158"/>
  <c r="N157"/>
  <c r="N156"/>
  <c r="N153"/>
  <c r="N149"/>
  <c r="N146"/>
  <c r="N145"/>
  <c r="N141"/>
  <c r="N140"/>
  <c r="N139"/>
  <c r="N135"/>
  <c r="N133"/>
  <c r="N130"/>
  <c r="N127"/>
  <c r="N125"/>
  <c r="N122"/>
  <c r="N118"/>
  <c r="N117"/>
  <c r="N114"/>
  <c r="N113"/>
  <c r="N112"/>
  <c r="N111"/>
  <c r="N108"/>
  <c r="N107"/>
  <c r="N104"/>
  <c r="N100"/>
  <c r="N96"/>
  <c r="N95"/>
  <c r="N94"/>
  <c r="N93"/>
  <c r="N92"/>
  <c r="N91"/>
  <c r="N88"/>
  <c r="N87"/>
  <c r="N86"/>
  <c r="N85"/>
  <c r="N84"/>
  <c r="N83"/>
  <c r="N80"/>
  <c r="N79"/>
  <c r="N78"/>
  <c r="N77"/>
  <c r="N76"/>
  <c r="N75"/>
  <c r="N69"/>
  <c r="N68"/>
  <c r="N67"/>
  <c r="N64"/>
  <c r="N63"/>
  <c r="N62"/>
  <c r="N58"/>
  <c r="N57"/>
  <c r="N56"/>
  <c r="N53"/>
  <c r="N50"/>
  <c r="N49"/>
  <c r="N46"/>
  <c r="N45"/>
  <c r="N44"/>
  <c r="N40"/>
  <c r="N39"/>
  <c r="N38"/>
  <c r="N35"/>
  <c r="N33"/>
  <c r="N32"/>
  <c r="N30"/>
  <c r="N27"/>
  <c r="N26"/>
  <c r="N25"/>
  <c r="N24"/>
  <c r="N23"/>
  <c r="N22"/>
  <c r="N21"/>
  <c r="N20"/>
  <c r="N17"/>
  <c r="N15"/>
  <c r="N13"/>
  <c r="Q209"/>
  <c r="Q208" s="1"/>
  <c r="Q204"/>
  <c r="Q203" s="1"/>
  <c r="Q200"/>
  <c r="Q183"/>
  <c r="Q177"/>
  <c r="Q174"/>
  <c r="Q165"/>
  <c r="Q160"/>
  <c r="Q154"/>
  <c r="Q151"/>
  <c r="Q147"/>
  <c r="Q143"/>
  <c r="Q137"/>
  <c r="Q128"/>
  <c r="Q120"/>
  <c r="Q115"/>
  <c r="Q109"/>
  <c r="Q105"/>
  <c r="Q98"/>
  <c r="Q89"/>
  <c r="Q81"/>
  <c r="Q73"/>
  <c r="Q54"/>
  <c r="Q51"/>
  <c r="Q47"/>
  <c r="Q42"/>
  <c r="Q36"/>
  <c r="Q28"/>
  <c r="Q18"/>
  <c r="Q10"/>
  <c r="J212"/>
  <c r="J211"/>
  <c r="M209"/>
  <c r="M208" s="1"/>
  <c r="L209"/>
  <c r="L208" s="1"/>
  <c r="K209"/>
  <c r="K208" s="1"/>
  <c r="J207"/>
  <c r="J206"/>
  <c r="M204"/>
  <c r="M203" s="1"/>
  <c r="L204"/>
  <c r="L203" s="1"/>
  <c r="K204"/>
  <c r="K203" s="1"/>
  <c r="J202"/>
  <c r="M200"/>
  <c r="L200"/>
  <c r="K200"/>
  <c r="J199"/>
  <c r="J198"/>
  <c r="J197"/>
  <c r="J195"/>
  <c r="J194"/>
  <c r="J193"/>
  <c r="J192"/>
  <c r="J191"/>
  <c r="J190"/>
  <c r="J186"/>
  <c r="J185"/>
  <c r="M183"/>
  <c r="L183"/>
  <c r="K183"/>
  <c r="J181"/>
  <c r="J180"/>
  <c r="J179"/>
  <c r="M177"/>
  <c r="L177"/>
  <c r="K177"/>
  <c r="J176"/>
  <c r="M174"/>
  <c r="L174"/>
  <c r="K174"/>
  <c r="J173"/>
  <c r="J172"/>
  <c r="J170"/>
  <c r="J169"/>
  <c r="J168"/>
  <c r="J167"/>
  <c r="M165"/>
  <c r="L165"/>
  <c r="K165"/>
  <c r="J163"/>
  <c r="J162"/>
  <c r="M160"/>
  <c r="L160"/>
  <c r="K160"/>
  <c r="J159"/>
  <c r="J158"/>
  <c r="J157"/>
  <c r="J156"/>
  <c r="M154"/>
  <c r="L154"/>
  <c r="K154"/>
  <c r="J153"/>
  <c r="M151"/>
  <c r="L151"/>
  <c r="K151"/>
  <c r="J149"/>
  <c r="M147"/>
  <c r="L147"/>
  <c r="K147"/>
  <c r="J146"/>
  <c r="J145"/>
  <c r="M143"/>
  <c r="L143"/>
  <c r="K143"/>
  <c r="J141"/>
  <c r="J140"/>
  <c r="J139"/>
  <c r="M137"/>
  <c r="L137"/>
  <c r="K137"/>
  <c r="J135"/>
  <c r="J133"/>
  <c r="J130"/>
  <c r="M128"/>
  <c r="L128"/>
  <c r="K128"/>
  <c r="J127"/>
  <c r="J125"/>
  <c r="L123"/>
  <c r="K123"/>
  <c r="J122"/>
  <c r="M120"/>
  <c r="L120"/>
  <c r="K120"/>
  <c r="J118"/>
  <c r="J117"/>
  <c r="M115"/>
  <c r="L115"/>
  <c r="K115"/>
  <c r="J114"/>
  <c r="J113"/>
  <c r="J112"/>
  <c r="J111"/>
  <c r="M109"/>
  <c r="L109"/>
  <c r="K109"/>
  <c r="J108"/>
  <c r="J107"/>
  <c r="M105"/>
  <c r="L105"/>
  <c r="K105"/>
  <c r="J104"/>
  <c r="J100"/>
  <c r="M98"/>
  <c r="L98"/>
  <c r="K98"/>
  <c r="J96"/>
  <c r="J95"/>
  <c r="J94"/>
  <c r="J93"/>
  <c r="J92"/>
  <c r="J91"/>
  <c r="M89"/>
  <c r="L89"/>
  <c r="K89"/>
  <c r="J88"/>
  <c r="J87"/>
  <c r="J86"/>
  <c r="J85"/>
  <c r="J84"/>
  <c r="J83"/>
  <c r="M81"/>
  <c r="L81"/>
  <c r="K81"/>
  <c r="J80"/>
  <c r="J79"/>
  <c r="J78"/>
  <c r="J77"/>
  <c r="J76"/>
  <c r="J75"/>
  <c r="M73"/>
  <c r="L73"/>
  <c r="K73"/>
  <c r="J69"/>
  <c r="J68"/>
  <c r="J67"/>
  <c r="J64"/>
  <c r="J63"/>
  <c r="J62"/>
  <c r="J58"/>
  <c r="J57"/>
  <c r="J56"/>
  <c r="M54"/>
  <c r="L54"/>
  <c r="K54"/>
  <c r="J53"/>
  <c r="M51"/>
  <c r="L51"/>
  <c r="K51"/>
  <c r="J50"/>
  <c r="J49"/>
  <c r="M47"/>
  <c r="L47"/>
  <c r="K47"/>
  <c r="J46"/>
  <c r="J45"/>
  <c r="J44"/>
  <c r="M42"/>
  <c r="L42"/>
  <c r="K42"/>
  <c r="J40"/>
  <c r="J39"/>
  <c r="J38"/>
  <c r="M36"/>
  <c r="L36"/>
  <c r="K36"/>
  <c r="J35"/>
  <c r="J33"/>
  <c r="J32"/>
  <c r="J30"/>
  <c r="M28"/>
  <c r="L28"/>
  <c r="K28"/>
  <c r="J27"/>
  <c r="J26"/>
  <c r="J25"/>
  <c r="J24"/>
  <c r="J23"/>
  <c r="J22"/>
  <c r="J21"/>
  <c r="J20"/>
  <c r="M18"/>
  <c r="L18"/>
  <c r="K18"/>
  <c r="J17"/>
  <c r="J15"/>
  <c r="J13"/>
  <c r="J12"/>
  <c r="L10"/>
  <c r="K10"/>
  <c r="F12"/>
  <c r="F13"/>
  <c r="F15"/>
  <c r="F17"/>
  <c r="F20"/>
  <c r="F21"/>
  <c r="F22"/>
  <c r="F23"/>
  <c r="F24"/>
  <c r="F25"/>
  <c r="F26"/>
  <c r="F27"/>
  <c r="F30"/>
  <c r="F32"/>
  <c r="F33"/>
  <c r="F35"/>
  <c r="F38"/>
  <c r="F39"/>
  <c r="F40"/>
  <c r="F44"/>
  <c r="F45"/>
  <c r="F46"/>
  <c r="F49"/>
  <c r="F50"/>
  <c r="F53"/>
  <c r="F56"/>
  <c r="F57"/>
  <c r="F58"/>
  <c r="F62"/>
  <c r="F63"/>
  <c r="F64"/>
  <c r="F67"/>
  <c r="F68"/>
  <c r="F69"/>
  <c r="F75"/>
  <c r="F76"/>
  <c r="F77"/>
  <c r="F78"/>
  <c r="F79"/>
  <c r="F80"/>
  <c r="F83"/>
  <c r="F84"/>
  <c r="F85"/>
  <c r="F86"/>
  <c r="F87"/>
  <c r="F88"/>
  <c r="F91"/>
  <c r="F92"/>
  <c r="F93"/>
  <c r="F94"/>
  <c r="F95"/>
  <c r="F96"/>
  <c r="F100"/>
  <c r="F104"/>
  <c r="F107"/>
  <c r="F108"/>
  <c r="F111"/>
  <c r="F112"/>
  <c r="F113"/>
  <c r="F114"/>
  <c r="F117"/>
  <c r="F118"/>
  <c r="F122"/>
  <c r="F127"/>
  <c r="F130"/>
  <c r="F133"/>
  <c r="F135"/>
  <c r="F139"/>
  <c r="F140"/>
  <c r="F141"/>
  <c r="F145"/>
  <c r="F149"/>
  <c r="F153"/>
  <c r="F156"/>
  <c r="F157"/>
  <c r="F158"/>
  <c r="F159"/>
  <c r="F162"/>
  <c r="F163"/>
  <c r="F167"/>
  <c r="F168"/>
  <c r="F169"/>
  <c r="F170"/>
  <c r="F172"/>
  <c r="F173"/>
  <c r="F176"/>
  <c r="F179"/>
  <c r="F180"/>
  <c r="F181"/>
  <c r="F185"/>
  <c r="F186"/>
  <c r="F190"/>
  <c r="F191"/>
  <c r="F192"/>
  <c r="F193"/>
  <c r="F194"/>
  <c r="F195"/>
  <c r="F197"/>
  <c r="F198"/>
  <c r="F199"/>
  <c r="F202"/>
  <c r="F206"/>
  <c r="F207"/>
  <c r="F211"/>
  <c r="F212"/>
  <c r="I209"/>
  <c r="I208" s="1"/>
  <c r="I204"/>
  <c r="I203" s="1"/>
  <c r="I200"/>
  <c r="I183"/>
  <c r="I177"/>
  <c r="I174"/>
  <c r="I165"/>
  <c r="I160"/>
  <c r="I154"/>
  <c r="I151"/>
  <c r="I147"/>
  <c r="I143"/>
  <c r="I137"/>
  <c r="I128"/>
  <c r="I120"/>
  <c r="I115"/>
  <c r="I109"/>
  <c r="I105"/>
  <c r="I98"/>
  <c r="I89"/>
  <c r="I81"/>
  <c r="I73"/>
  <c r="I54"/>
  <c r="I51"/>
  <c r="I47"/>
  <c r="I42"/>
  <c r="I36"/>
  <c r="I18"/>
  <c r="I10"/>
  <c r="Q9" l="1"/>
  <c r="R60"/>
  <c r="V67"/>
  <c r="K59"/>
  <c r="I9"/>
  <c r="K136"/>
  <c r="I182"/>
  <c r="Q59"/>
  <c r="Q136"/>
  <c r="K182"/>
  <c r="Q182"/>
  <c r="M136"/>
  <c r="M182"/>
  <c r="L182"/>
  <c r="U182"/>
  <c r="U136"/>
  <c r="I136"/>
  <c r="L136"/>
  <c r="L59"/>
  <c r="U59"/>
  <c r="M59"/>
  <c r="I59"/>
  <c r="I41"/>
  <c r="L41"/>
  <c r="K41"/>
  <c r="U41"/>
  <c r="Q41"/>
  <c r="M41"/>
  <c r="L9"/>
  <c r="M9"/>
  <c r="K9"/>
  <c r="U9"/>
  <c r="V156"/>
  <c r="V113"/>
  <c r="V111"/>
  <c r="V173"/>
  <c r="V15"/>
  <c r="V80"/>
  <c r="V78"/>
  <c r="V153"/>
  <c r="V159"/>
  <c r="V146"/>
  <c r="V56"/>
  <c r="V46"/>
  <c r="V44"/>
  <c r="V30"/>
  <c r="V22"/>
  <c r="V27"/>
  <c r="V45"/>
  <c r="V50"/>
  <c r="V57"/>
  <c r="V92"/>
  <c r="V100"/>
  <c r="V118"/>
  <c r="V122"/>
  <c r="V140"/>
  <c r="V94"/>
  <c r="V91"/>
  <c r="V13"/>
  <c r="V58"/>
  <c r="V62"/>
  <c r="V69"/>
  <c r="V76"/>
  <c r="V79"/>
  <c r="V93"/>
  <c r="V114"/>
  <c r="V141"/>
  <c r="V157"/>
  <c r="V163"/>
  <c r="V176"/>
  <c r="V179"/>
  <c r="V198"/>
  <c r="U164"/>
  <c r="V53"/>
  <c r="V77"/>
  <c r="V33"/>
  <c r="V35"/>
  <c r="V167"/>
  <c r="V206"/>
  <c r="I97"/>
  <c r="V125"/>
  <c r="V39"/>
  <c r="V12"/>
  <c r="V17"/>
  <c r="V38"/>
  <c r="V75"/>
  <c r="V84"/>
  <c r="V87"/>
  <c r="V181"/>
  <c r="V185"/>
  <c r="V85"/>
  <c r="V21"/>
  <c r="V24"/>
  <c r="V26"/>
  <c r="V32"/>
  <c r="V49"/>
  <c r="V64"/>
  <c r="V83"/>
  <c r="V86"/>
  <c r="V95"/>
  <c r="L97"/>
  <c r="J105"/>
  <c r="V135"/>
  <c r="V139"/>
  <c r="V149"/>
  <c r="V193"/>
  <c r="V20"/>
  <c r="V23"/>
  <c r="V25"/>
  <c r="V40"/>
  <c r="V63"/>
  <c r="V88"/>
  <c r="V104"/>
  <c r="V112"/>
  <c r="V127"/>
  <c r="V130"/>
  <c r="V133"/>
  <c r="M150"/>
  <c r="V158"/>
  <c r="V180"/>
  <c r="V186"/>
  <c r="V194"/>
  <c r="V199"/>
  <c r="V202"/>
  <c r="V207"/>
  <c r="V212"/>
  <c r="U150"/>
  <c r="M97"/>
  <c r="U97"/>
  <c r="J200"/>
  <c r="J209"/>
  <c r="U119"/>
  <c r="J89"/>
  <c r="Q150"/>
  <c r="J120"/>
  <c r="M119"/>
  <c r="Q164"/>
  <c r="M164"/>
  <c r="J101"/>
  <c r="J109"/>
  <c r="J147"/>
  <c r="J177"/>
  <c r="I150"/>
  <c r="J28"/>
  <c r="J98"/>
  <c r="J128"/>
  <c r="J143"/>
  <c r="Q119"/>
  <c r="J54"/>
  <c r="L150"/>
  <c r="J160"/>
  <c r="Q97"/>
  <c r="J187"/>
  <c r="L164"/>
  <c r="J174"/>
  <c r="J165"/>
  <c r="K150"/>
  <c r="J151"/>
  <c r="J137"/>
  <c r="J131"/>
  <c r="L119"/>
  <c r="K119"/>
  <c r="J115"/>
  <c r="J81"/>
  <c r="J73"/>
  <c r="J60"/>
  <c r="J51"/>
  <c r="J47"/>
  <c r="J42"/>
  <c r="J36"/>
  <c r="J18"/>
  <c r="J10"/>
  <c r="J154"/>
  <c r="K164"/>
  <c r="J183"/>
  <c r="J204"/>
  <c r="K97"/>
  <c r="J123"/>
  <c r="I164"/>
  <c r="I119"/>
  <c r="J182" l="1"/>
  <c r="D13" i="2" s="1"/>
  <c r="L13" s="1"/>
  <c r="J150" i="1"/>
  <c r="D7" i="2" s="1"/>
  <c r="L7" s="1"/>
  <c r="P7" s="1"/>
  <c r="J203" i="1"/>
  <c r="D17" i="2" s="1"/>
  <c r="L17" s="1"/>
  <c r="M8" i="1"/>
  <c r="J97"/>
  <c r="D15" i="2" s="1"/>
  <c r="L15" s="1"/>
  <c r="P15" s="1"/>
  <c r="J119" i="1"/>
  <c r="D10" i="2" s="1"/>
  <c r="L10" s="1"/>
  <c r="P10" s="1"/>
  <c r="J208" i="1"/>
  <c r="D16" i="2" s="1"/>
  <c r="L16" s="1"/>
  <c r="P16" s="1"/>
  <c r="U8" i="1"/>
  <c r="Q8"/>
  <c r="J164"/>
  <c r="D14" i="2" s="1"/>
  <c r="L14" s="1"/>
  <c r="P14" s="1"/>
  <c r="J136" i="1"/>
  <c r="D12" i="2" s="1"/>
  <c r="L12" s="1"/>
  <c r="P12" s="1"/>
  <c r="J59" i="1"/>
  <c r="D11" i="2" s="1"/>
  <c r="L11" s="1"/>
  <c r="P11" s="1"/>
  <c r="L8" i="1"/>
  <c r="J41"/>
  <c r="D9" i="2" s="1"/>
  <c r="L9" s="1"/>
  <c r="J9" i="1"/>
  <c r="D8" i="2" s="1"/>
  <c r="L8" s="1"/>
  <c r="P8" s="1"/>
  <c r="K8" i="1"/>
  <c r="I8"/>
  <c r="P13" i="2" l="1"/>
  <c r="P9"/>
  <c r="P17"/>
  <c r="J8" i="1"/>
  <c r="D6" i="2" l="1"/>
  <c r="L6" s="1"/>
  <c r="P6" s="1"/>
  <c r="G143" i="1"/>
  <c r="H143"/>
  <c r="O143"/>
  <c r="P143"/>
  <c r="S143"/>
  <c r="T143"/>
  <c r="G115"/>
  <c r="H115"/>
  <c r="O115"/>
  <c r="P115"/>
  <c r="S115"/>
  <c r="T115"/>
  <c r="G128"/>
  <c r="H128"/>
  <c r="O128"/>
  <c r="P128"/>
  <c r="S128"/>
  <c r="T128"/>
  <c r="G200"/>
  <c r="H200"/>
  <c r="O200"/>
  <c r="P200"/>
  <c r="S200"/>
  <c r="T200"/>
  <c r="T209"/>
  <c r="T208" s="1"/>
  <c r="S209"/>
  <c r="S208" s="1"/>
  <c r="T204"/>
  <c r="T203" s="1"/>
  <c r="S204"/>
  <c r="S203" s="1"/>
  <c r="T183"/>
  <c r="S183"/>
  <c r="T177"/>
  <c r="S177"/>
  <c r="T174"/>
  <c r="S174"/>
  <c r="T165"/>
  <c r="S165"/>
  <c r="T160"/>
  <c r="S160"/>
  <c r="T154"/>
  <c r="S154"/>
  <c r="T151"/>
  <c r="S151"/>
  <c r="T147"/>
  <c r="S147"/>
  <c r="T137"/>
  <c r="S137"/>
  <c r="T123"/>
  <c r="S123"/>
  <c r="T120"/>
  <c r="S120"/>
  <c r="T109"/>
  <c r="S109"/>
  <c r="T105"/>
  <c r="S105"/>
  <c r="T101"/>
  <c r="S101"/>
  <c r="T98"/>
  <c r="S98"/>
  <c r="T89"/>
  <c r="S89"/>
  <c r="T81"/>
  <c r="S81"/>
  <c r="T73"/>
  <c r="S73"/>
  <c r="S60"/>
  <c r="T54"/>
  <c r="S54"/>
  <c r="T51"/>
  <c r="S51"/>
  <c r="T47"/>
  <c r="S47"/>
  <c r="T42"/>
  <c r="S42"/>
  <c r="T36"/>
  <c r="S36"/>
  <c r="T28"/>
  <c r="S28"/>
  <c r="T18"/>
  <c r="S18"/>
  <c r="T10"/>
  <c r="S10"/>
  <c r="P209"/>
  <c r="P208" s="1"/>
  <c r="O209"/>
  <c r="O208" s="1"/>
  <c r="P204"/>
  <c r="P203" s="1"/>
  <c r="O204"/>
  <c r="O203" s="1"/>
  <c r="P183"/>
  <c r="O183"/>
  <c r="P177"/>
  <c r="O177"/>
  <c r="P174"/>
  <c r="O174"/>
  <c r="P165"/>
  <c r="O165"/>
  <c r="P160"/>
  <c r="O160"/>
  <c r="P154"/>
  <c r="O154"/>
  <c r="P151"/>
  <c r="O151"/>
  <c r="P147"/>
  <c r="O147"/>
  <c r="P137"/>
  <c r="O137"/>
  <c r="P123"/>
  <c r="O123"/>
  <c r="P120"/>
  <c r="O120"/>
  <c r="P109"/>
  <c r="O109"/>
  <c r="P105"/>
  <c r="O105"/>
  <c r="P98"/>
  <c r="O98"/>
  <c r="P89"/>
  <c r="O89"/>
  <c r="P81"/>
  <c r="O81"/>
  <c r="P73"/>
  <c r="O73"/>
  <c r="O60"/>
  <c r="P54"/>
  <c r="O54"/>
  <c r="P51"/>
  <c r="O51"/>
  <c r="P47"/>
  <c r="O47"/>
  <c r="P42"/>
  <c r="O42"/>
  <c r="P36"/>
  <c r="O36"/>
  <c r="P28"/>
  <c r="O28"/>
  <c r="P18"/>
  <c r="O18"/>
  <c r="P10"/>
  <c r="O10"/>
  <c r="H209"/>
  <c r="H208" s="1"/>
  <c r="G209"/>
  <c r="G208" s="1"/>
  <c r="G204"/>
  <c r="G203" s="1"/>
  <c r="H183"/>
  <c r="G183"/>
  <c r="G177"/>
  <c r="H177"/>
  <c r="H174"/>
  <c r="G174"/>
  <c r="H165"/>
  <c r="H160"/>
  <c r="G160"/>
  <c r="H154"/>
  <c r="H151"/>
  <c r="G151"/>
  <c r="H147"/>
  <c r="H137"/>
  <c r="G137"/>
  <c r="H123"/>
  <c r="G120"/>
  <c r="H120"/>
  <c r="H109"/>
  <c r="H105"/>
  <c r="H98"/>
  <c r="G89"/>
  <c r="H89"/>
  <c r="H81"/>
  <c r="G73"/>
  <c r="H73"/>
  <c r="H51"/>
  <c r="G51"/>
  <c r="G47"/>
  <c r="H42"/>
  <c r="H18"/>
  <c r="P9" l="1"/>
  <c r="R143"/>
  <c r="G136"/>
  <c r="O136"/>
  <c r="O182"/>
  <c r="O59"/>
  <c r="G182"/>
  <c r="H182"/>
  <c r="P59"/>
  <c r="P136"/>
  <c r="P182"/>
  <c r="H136"/>
  <c r="T59"/>
  <c r="T136"/>
  <c r="T182"/>
  <c r="S59"/>
  <c r="S136"/>
  <c r="S182"/>
  <c r="O9"/>
  <c r="O41"/>
  <c r="S41"/>
  <c r="P41"/>
  <c r="T41"/>
  <c r="T9"/>
  <c r="S9"/>
  <c r="R200"/>
  <c r="R18"/>
  <c r="R36"/>
  <c r="R42"/>
  <c r="R54"/>
  <c r="R73"/>
  <c r="R89"/>
  <c r="R98"/>
  <c r="R105"/>
  <c r="R120"/>
  <c r="R137"/>
  <c r="R151"/>
  <c r="R174"/>
  <c r="R183"/>
  <c r="R204"/>
  <c r="R10"/>
  <c r="R28"/>
  <c r="R47"/>
  <c r="R51"/>
  <c r="R81"/>
  <c r="R101"/>
  <c r="R109"/>
  <c r="R123"/>
  <c r="R147"/>
  <c r="R154"/>
  <c r="R165"/>
  <c r="R177"/>
  <c r="R187"/>
  <c r="R131"/>
  <c r="R160"/>
  <c r="R128"/>
  <c r="R209"/>
  <c r="R115"/>
  <c r="N123"/>
  <c r="F200"/>
  <c r="V200" s="1"/>
  <c r="N128"/>
  <c r="N131"/>
  <c r="N115"/>
  <c r="N143"/>
  <c r="N209"/>
  <c r="N18"/>
  <c r="N36"/>
  <c r="N42"/>
  <c r="N54"/>
  <c r="N73"/>
  <c r="N89"/>
  <c r="N98"/>
  <c r="N105"/>
  <c r="N120"/>
  <c r="N137"/>
  <c r="N151"/>
  <c r="N160"/>
  <c r="N174"/>
  <c r="N183"/>
  <c r="N204"/>
  <c r="N10"/>
  <c r="N28"/>
  <c r="N47"/>
  <c r="N51"/>
  <c r="N60"/>
  <c r="N81"/>
  <c r="N101"/>
  <c r="N109"/>
  <c r="N147"/>
  <c r="N154"/>
  <c r="N165"/>
  <c r="N177"/>
  <c r="N187"/>
  <c r="N200"/>
  <c r="F128"/>
  <c r="V128" s="1"/>
  <c r="V131"/>
  <c r="F115"/>
  <c r="V115" s="1"/>
  <c r="F143"/>
  <c r="V143" s="1"/>
  <c r="F89"/>
  <c r="V89" s="1"/>
  <c r="F120"/>
  <c r="V120" s="1"/>
  <c r="F151"/>
  <c r="V151" s="1"/>
  <c r="V187"/>
  <c r="F209"/>
  <c r="V209" s="1"/>
  <c r="F51"/>
  <c r="V51" s="1"/>
  <c r="F137"/>
  <c r="V137" s="1"/>
  <c r="F147"/>
  <c r="V147" s="1"/>
  <c r="F174"/>
  <c r="V174" s="1"/>
  <c r="F183"/>
  <c r="F160"/>
  <c r="V160" s="1"/>
  <c r="F73"/>
  <c r="V73" s="1"/>
  <c r="F177"/>
  <c r="V177" s="1"/>
  <c r="T119"/>
  <c r="P119"/>
  <c r="P150"/>
  <c r="T164"/>
  <c r="O119"/>
  <c r="S119"/>
  <c r="T150"/>
  <c r="H119"/>
  <c r="P164"/>
  <c r="H150"/>
  <c r="T97"/>
  <c r="P97"/>
  <c r="H164"/>
  <c r="S150"/>
  <c r="O164"/>
  <c r="S97"/>
  <c r="S164"/>
  <c r="O97"/>
  <c r="O150"/>
  <c r="G42"/>
  <c r="G165"/>
  <c r="H36"/>
  <c r="F36" s="1"/>
  <c r="V36" s="1"/>
  <c r="G154"/>
  <c r="H28"/>
  <c r="F28" s="1"/>
  <c r="V28" s="1"/>
  <c r="H47"/>
  <c r="F47" s="1"/>
  <c r="V47" s="1"/>
  <c r="G109"/>
  <c r="F109" s="1"/>
  <c r="V109" s="1"/>
  <c r="G18"/>
  <c r="F18" s="1"/>
  <c r="V18" s="1"/>
  <c r="H59"/>
  <c r="H97"/>
  <c r="G98"/>
  <c r="F98" s="1"/>
  <c r="V98" s="1"/>
  <c r="G105"/>
  <c r="F105" s="1"/>
  <c r="F101"/>
  <c r="V101" s="1"/>
  <c r="H204"/>
  <c r="H203" s="1"/>
  <c r="H54"/>
  <c r="G54"/>
  <c r="G81"/>
  <c r="F81" s="1"/>
  <c r="V81" s="1"/>
  <c r="G59" l="1"/>
  <c r="F59" s="1"/>
  <c r="V183"/>
  <c r="F182"/>
  <c r="H41"/>
  <c r="F42"/>
  <c r="V42" s="1"/>
  <c r="G41"/>
  <c r="N136"/>
  <c r="H9"/>
  <c r="G9"/>
  <c r="R119"/>
  <c r="R182"/>
  <c r="R9"/>
  <c r="R164"/>
  <c r="R208"/>
  <c r="R203"/>
  <c r="R136"/>
  <c r="R59"/>
  <c r="N182"/>
  <c r="N119"/>
  <c r="N97"/>
  <c r="N9"/>
  <c r="R97"/>
  <c r="R150"/>
  <c r="N208"/>
  <c r="N164"/>
  <c r="R41"/>
  <c r="N150"/>
  <c r="G119"/>
  <c r="F119" s="1"/>
  <c r="V123"/>
  <c r="N41"/>
  <c r="N203"/>
  <c r="N59"/>
  <c r="F60"/>
  <c r="V60" s="1"/>
  <c r="G164"/>
  <c r="F164" s="1"/>
  <c r="F165"/>
  <c r="V165" s="1"/>
  <c r="F203"/>
  <c r="F54"/>
  <c r="V54" s="1"/>
  <c r="F208"/>
  <c r="G150"/>
  <c r="F150" s="1"/>
  <c r="F154"/>
  <c r="V154" s="1"/>
  <c r="F136"/>
  <c r="V10"/>
  <c r="F204"/>
  <c r="V204" s="1"/>
  <c r="T8"/>
  <c r="P8"/>
  <c r="O8"/>
  <c r="S8"/>
  <c r="G97"/>
  <c r="F97" s="1"/>
  <c r="V97" l="1"/>
  <c r="E15" i="2" s="1"/>
  <c r="C15"/>
  <c r="K15" s="1"/>
  <c r="V203" i="1"/>
  <c r="E17" i="2" s="1"/>
  <c r="C17"/>
  <c r="K17" s="1"/>
  <c r="V59" i="1"/>
  <c r="E11" i="2" s="1"/>
  <c r="C11"/>
  <c r="K11" s="1"/>
  <c r="V208" i="1"/>
  <c r="E16" i="2" s="1"/>
  <c r="C16"/>
  <c r="K16" s="1"/>
  <c r="V164" i="1"/>
  <c r="E14" i="2" s="1"/>
  <c r="C14"/>
  <c r="K14" s="1"/>
  <c r="N8" i="1"/>
  <c r="V119"/>
  <c r="E10" i="2" s="1"/>
  <c r="C10"/>
  <c r="K10" s="1"/>
  <c r="V136" i="1"/>
  <c r="E12" i="2" s="1"/>
  <c r="C12"/>
  <c r="K12" s="1"/>
  <c r="V150" i="1"/>
  <c r="E7" i="2" s="1"/>
  <c r="C7"/>
  <c r="K7" s="1"/>
  <c r="V182" i="1"/>
  <c r="E13" i="2" s="1"/>
  <c r="C13"/>
  <c r="K13" s="1"/>
  <c r="R8" i="1"/>
  <c r="F41"/>
  <c r="F9"/>
  <c r="H8"/>
  <c r="G8"/>
  <c r="V41" l="1"/>
  <c r="E9" i="2" s="1"/>
  <c r="C9"/>
  <c r="K9" s="1"/>
  <c r="M7"/>
  <c r="O7"/>
  <c r="M10"/>
  <c r="O10"/>
  <c r="V9" i="1"/>
  <c r="E8" i="2" s="1"/>
  <c r="C8"/>
  <c r="K8" s="1"/>
  <c r="M14"/>
  <c r="O14"/>
  <c r="M11"/>
  <c r="O11"/>
  <c r="M15"/>
  <c r="O15"/>
  <c r="O13"/>
  <c r="M13"/>
  <c r="M12"/>
  <c r="O12"/>
  <c r="M16"/>
  <c r="O16"/>
  <c r="O17"/>
  <c r="M17"/>
  <c r="F8" i="1"/>
  <c r="C6" i="2" s="1"/>
  <c r="K6" s="1"/>
  <c r="O9" l="1"/>
  <c r="M9"/>
  <c r="M6"/>
  <c r="O6"/>
  <c r="M8"/>
  <c r="O8"/>
  <c r="V8" i="1"/>
  <c r="E6" i="2" s="1"/>
</calcChain>
</file>

<file path=xl/sharedStrings.xml><?xml version="1.0" encoding="utf-8"?>
<sst xmlns="http://schemas.openxmlformats.org/spreadsheetml/2006/main" count="762" uniqueCount="390">
  <si>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</si>
  <si>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</si>
  <si>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</si>
  <si>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</si>
  <si>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</si>
  <si>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</si>
  <si>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</si>
  <si>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</si>
  <si>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</si>
  <si>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</si>
  <si>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</si>
  <si>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</si>
  <si>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</si>
  <si>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</si>
  <si>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Региональный проект "Старшее поколение", всего</t>
  </si>
  <si>
    <t>из них</t>
  </si>
  <si>
    <t>Департамент труда и занятости населения Томской области</t>
  </si>
  <si>
    <t>Департамент здравоохранения Томской области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</si>
  <si>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</si>
  <si>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</si>
  <si>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</si>
  <si>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</si>
  <si>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</si>
  <si>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</si>
  <si>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</si>
  <si>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</si>
  <si>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</si>
  <si>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</si>
  <si>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</si>
  <si>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1.4</t>
  </si>
  <si>
    <t>Региональный проект "Финансовая поддержка семей при рождении детей", всего</t>
  </si>
  <si>
    <t>Осуществление ежемесячной выплаты в связи с рождением (усыновлением) первого ребенка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</si>
  <si>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</si>
  <si>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</si>
  <si>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</si>
  <si>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</si>
  <si>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</si>
  <si>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</si>
  <si>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</si>
  <si>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</si>
  <si>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</si>
  <si>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</si>
  <si>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</si>
  <si>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(ЕГИСЗ)", всего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</si>
  <si>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</si>
  <si>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</si>
  <si>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</si>
  <si>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</si>
  <si>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</si>
  <si>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</si>
  <si>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</si>
  <si>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</si>
  <si>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</si>
  <si>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</si>
  <si>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</si>
  <si>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</si>
  <si>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</si>
  <si>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</si>
  <si>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Создание центров выявления и поддержки одаренных детей</t>
  </si>
  <si>
    <t>Внедрение целевой модели развития региональных систем дополнительного образования детей</t>
  </si>
  <si>
    <t>3.4</t>
  </si>
  <si>
    <t>Региональный проект "Молодые профессионалы (Повышение конкурентоспособности профессионального образования)", всего</t>
  </si>
  <si>
    <t>Государственная поддержка профессиональных образовательных организаций в целях обеспечения соответствия их материально-технической базы современным требованиям</t>
  </si>
  <si>
    <t>Функционирование центра опережающей профессиональной подготовки</t>
  </si>
  <si>
    <t>Обеспечение проведения аттестации обучающихся по программам среднего профессионального образования с использованием механизма демонстрационного экзамена</t>
  </si>
  <si>
    <t>Внедрение программ профессионального обучения по наиболее востребованным и перспективным профессиям на уровне, соответствующем стандартам Ворлдскиллс, с учетом продолжительности программ не более 6 месяцев</t>
  </si>
  <si>
    <t>Повышение квалификации преподавателей (мастеров производственного обучения) по программам, основанным на опыте Союза Ворлдскиллс Россия</t>
  </si>
  <si>
    <t>4</t>
  </si>
  <si>
    <t>Национальный проект "Цифровая экономика"</t>
  </si>
  <si>
    <t>4.1</t>
  </si>
  <si>
    <t>Региональный проект "Кадры для цифровой экономики", всего</t>
  </si>
  <si>
    <t>4.2</t>
  </si>
  <si>
    <t>Региональный проект "Цифровые технологии"</t>
  </si>
  <si>
    <t>Финансовое обеспечение затрат, возникающих при реализации проекта "Цифровые технологии"</t>
  </si>
  <si>
    <t>Департамент по развитию инновационной и предпринимательской деятельности Томской области</t>
  </si>
  <si>
    <t>4.3</t>
  </si>
  <si>
    <t>Региональный проект "Информационная безопасность"</t>
  </si>
  <si>
    <t>Администрация Томской области</t>
  </si>
  <si>
    <t>4.4</t>
  </si>
  <si>
    <t>Региональный проект "Цифровое государственное управление"</t>
  </si>
  <si>
    <t>Внедрение цифровых технологий и платформенных решений в сферах государственного управления и оказания государственных и муниципальных услуг</t>
  </si>
  <si>
    <t>Обеспечение возможности доступа пользователей в модели "одного окна" посредством единого портала государственных и муниципальных услуг (функций) к информации, созданной органами государственной власти, органами местного самоуправления и органами государственных внебюджетных фондов, а также к иной общедоступной информации</t>
  </si>
  <si>
    <t>4.5</t>
  </si>
  <si>
    <t>Региональный проект "Информационная инфраструктура"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</si>
  <si>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</si>
  <si>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</si>
  <si>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</si>
  <si>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</si>
  <si>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</si>
  <si>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</si>
  <si>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</si>
  <si>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</si>
  <si>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</si>
  <si>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Региональный проект "Сохранение лесов", всего</t>
  </si>
  <si>
    <t>Увеличение площади лесовосстановления</t>
  </si>
  <si>
    <t>Департамент лесного хозяйства Томской области</t>
  </si>
  <si>
    <t>Оснащение учреждений, выполняющих мероприятия по воспроизводству лесов, специализированной лесохозяйственной техникой и оборудованием для проведения комплекса мероприятий по лесовосстановлению и лесоразведению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</si>
  <si>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</si>
  <si>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6.2</t>
  </si>
  <si>
    <t>Региональный проект "Чистая вода", всего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</si>
  <si>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</si>
  <si>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</si>
  <si>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6.3</t>
  </si>
  <si>
    <t>Департамент природных ресурсов и охраны окружающей среды Томской области</t>
  </si>
  <si>
    <t>Региональный проект «Сохранение уникальных водных объектов»</t>
  </si>
  <si>
    <t>Восстановление и экологическая реабилитация водных объектов</t>
  </si>
  <si>
    <t>7</t>
  </si>
  <si>
    <t>Национальный проект "Безопасные и качественные автомобильные дороги"</t>
  </si>
  <si>
    <t>7.1</t>
  </si>
  <si>
    <t>Региональный проект "Дорожная сеть", всего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</si>
  <si>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</si>
  <si>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</si>
  <si>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</si>
  <si>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</si>
  <si>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</si>
  <si>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</si>
  <si>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</si>
  <si>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</si>
  <si>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"Цифровая культура"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</si>
  <si>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</si>
  <si>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</si>
  <si>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</si>
  <si>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</si>
  <si>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</si>
  <si>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9.2</t>
  </si>
  <si>
    <t>Региональный проект "Акселерация субъектов малого и среднего предпринимательства", всего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</si>
  <si>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</si>
  <si>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</si>
  <si>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</si>
  <si>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</si>
  <si>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</si>
  <si>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</si>
  <si>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Региональный проект "Адресная поддержка повышения производительности труда на предприятиях", всего</t>
  </si>
  <si>
    <t>Капитальный ремонт муниципальных спортивных сооружений</t>
  </si>
  <si>
    <t>Переселение граждан из аварийного жилищного фонда за счет средств, поступивших от Фонда содействия реформированию жилищно-коммунального хозяйства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</si>
  <si>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</si>
  <si>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</si>
  <si>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 xml:space="preserve">Создание новых мест в общеобразовательных организациях </t>
  </si>
  <si>
    <t>03WI455272</t>
  </si>
  <si>
    <t>03WI555274</t>
  </si>
  <si>
    <t>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 - Центре кластерного развития Томской области</t>
  </si>
  <si>
    <t>Поддержка субъектов Российской Федерации - участников национального проекта "Производительность труда и поддержка занятости"</t>
  </si>
  <si>
    <t>03WL252961</t>
  </si>
  <si>
    <t>Повышение эффективности службы занятости</t>
  </si>
  <si>
    <t>Возмещение части затрат сельскохозяйственных потребительских кооперативов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</si>
  <si>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</si>
  <si>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</si>
  <si>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</si>
  <si>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</si>
  <si>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</si>
  <si>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Оснащение медицинских организаций передвижными медицинскими комплексами для оказания медицинской помощи жителям населенных пунктов с численностью населения до 100 человек</t>
  </si>
  <si>
    <t>07WN151910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</si>
  <si>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</si>
  <si>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</si>
  <si>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</si>
  <si>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</si>
  <si>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</si>
  <si>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</si>
  <si>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07WN352270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</si>
  <si>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</si>
  <si>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</si>
  <si>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</si>
  <si>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Создание и модернизация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</si>
  <si>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08WP551390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</si>
  <si>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</si>
  <si>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</si>
  <si>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</si>
  <si>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09WE151690</t>
  </si>
  <si>
    <t>Обновление материально-технической базы в организациях, осуществляющих образовательную деятельность исключительно по адаптированным основным общеобразовательным программам</t>
  </si>
  <si>
    <t>09WE151870</t>
  </si>
  <si>
    <t>09WE155200</t>
  </si>
  <si>
    <t>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</si>
  <si>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09WE250970</t>
  </si>
  <si>
    <t>09WE252470</t>
  </si>
  <si>
    <t>Создание мобильных технопарков "Кванториум"</t>
  </si>
  <si>
    <t>09WE254910</t>
  </si>
  <si>
    <t>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</si>
  <si>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09WE452100</t>
  </si>
  <si>
    <t>Создание центров цифрового образования детей</t>
  </si>
  <si>
    <t>09WE452190</t>
  </si>
  <si>
    <t>09WP252320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</si>
  <si>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</si>
  <si>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</si>
  <si>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10WA154540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</si>
  <si>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</si>
  <si>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</si>
  <si>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</si>
  <si>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Государственная поддержка отрасли культуры</t>
  </si>
  <si>
    <t>10WA155190</t>
  </si>
  <si>
    <t>10WA354530</t>
  </si>
  <si>
    <t>11WP150840</t>
  </si>
  <si>
    <t>11WP155730</t>
  </si>
  <si>
    <t>11WP351210</t>
  </si>
  <si>
    <t>13WF255550</t>
  </si>
  <si>
    <t>13WF367483</t>
  </si>
  <si>
    <t>15WG850570</t>
  </si>
  <si>
    <t>15WGА54290</t>
  </si>
  <si>
    <t>15WGА54300</t>
  </si>
  <si>
    <t>15WGА54320</t>
  </si>
  <si>
    <t>18WR153930</t>
  </si>
  <si>
    <t>Региональный проект «Чистая страна»</t>
  </si>
  <si>
    <t>26WG152420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</si>
  <si>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</si>
  <si>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20WD622700</t>
  </si>
  <si>
    <t>Внедрение в деятельность органов государственной власти и органов местного самоуправления, а также подведомственных им организаций межведомственного юридически значимого электронного документооборота с применением электронной подписи, базирующегося на единых инфраструктурных, технологических и методологических решениях</t>
  </si>
  <si>
    <t>20WD622500</t>
  </si>
  <si>
    <t>20WD620400</t>
  </si>
  <si>
    <t>20WD623500</t>
  </si>
  <si>
    <t>20WD461632</t>
  </si>
  <si>
    <t>Обеспечение использования отечественных разработок и технологий при передаче, обработке и хранении данных</t>
  </si>
  <si>
    <t>20WD464142</t>
  </si>
  <si>
    <t>Обеспечение устойчивости и безопасности функционирования информационной инфраструктуры и сервисов передачи, обработки и хранения данных</t>
  </si>
  <si>
    <t>11WP1Д0840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</si>
  <si>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</si>
  <si>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</si>
  <si>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</si>
  <si>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</si>
  <si>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</si>
  <si>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</si>
  <si>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</si>
  <si>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</si>
  <si>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09WE452102</t>
  </si>
  <si>
    <t>09WE251890</t>
  </si>
  <si>
    <t>09WE661635</t>
  </si>
  <si>
    <t>09WE661637</t>
  </si>
  <si>
    <t>Вовлечение в различные формы наставничества обучающихся организаций, осуществляющих образовательную деятельность по образовательным программам среднего профессионального образования</t>
  </si>
  <si>
    <t>09WE661624</t>
  </si>
  <si>
    <t>09WE661634</t>
  </si>
  <si>
    <t>09WE661636</t>
  </si>
  <si>
    <t>Функционирование учебной производственной площадки "Фабрика процессов"</t>
  </si>
  <si>
    <t>03WL252962</t>
  </si>
  <si>
    <t>09WE452101</t>
  </si>
  <si>
    <t>09WE651771</t>
  </si>
  <si>
    <t>08WP540010</t>
  </si>
  <si>
    <t>13WF367484</t>
  </si>
  <si>
    <t>Региональный проект "Общесистемные меры развития дорожного хозяйства", всего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</si>
  <si>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</si>
  <si>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02WD501700</t>
  </si>
  <si>
    <t>18WR353930</t>
  </si>
  <si>
    <t>7.2</t>
  </si>
  <si>
    <t>03WI555276</t>
  </si>
  <si>
    <t>11WP354680</t>
  </si>
  <si>
    <t>18WR254180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</si>
  <si>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</si>
  <si>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09WE255371</t>
  </si>
  <si>
    <t>Информационно-методическое сопровождение кружкового движения и организация проведения Олимпиады Национальной технологической инициативы (Олимпиады НТИ)</t>
  </si>
  <si>
    <t>09WE255372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</si>
  <si>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</si>
  <si>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</si>
  <si>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</si>
  <si>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Региональный проект "Безопасность дорожного движения", всего</t>
  </si>
  <si>
    <t>11WP35121И</t>
  </si>
  <si>
    <t>06WT252590</t>
  </si>
  <si>
    <t>Развитие и распространение лучшего опыта в сфере формирования цифровых навыков образовательных организаций, осуществляющих образовательную деятельность по общеобразовательным программам, имеющих лучшие результаты в преподавании предметных областей "Математика", "Информатика" и "Технология"</t>
  </si>
  <si>
    <t>09WD367714</t>
  </si>
  <si>
    <t>07WN352271</t>
  </si>
  <si>
    <t>11WP351211</t>
  </si>
  <si>
    <t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</t>
  </si>
  <si>
    <t>09WP241070</t>
  </si>
  <si>
    <t>Национальный проект "Международная кооперация и экспорт"</t>
  </si>
  <si>
    <t>8.3</t>
  </si>
  <si>
    <t>2021 год</t>
  </si>
  <si>
    <t>2022 год</t>
  </si>
  <si>
    <t>2023 год</t>
  </si>
  <si>
    <t>(тыс. рублей)</t>
  </si>
  <si>
    <t>03WI255271</t>
  </si>
  <si>
    <t>Региональный проект "Создание благоприятных условий для осуществления деятельности самозанятыми гражданами", всего</t>
  </si>
  <si>
    <t>Поддержка малого и среднего предпринимательства по созданию благоприятных условий для осуществления деятельности самозанятыми гражданами</t>
  </si>
  <si>
    <t>Реализация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</si>
  <si>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03WI455273</t>
  </si>
  <si>
    <t>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</si>
  <si>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03WI555277</t>
  </si>
  <si>
    <t>Докапитализация Гарантийного фонда Томской области</t>
  </si>
  <si>
    <t>03WI555278</t>
  </si>
  <si>
    <t>Создание промышленных парков для субъектов малого и среднего предпринимательства</t>
  </si>
  <si>
    <t>03WI555279</t>
  </si>
  <si>
    <t>05WP252910</t>
  </si>
  <si>
    <t>Гранты "Агростартап" на реализацию проектов создания и развития крестьянских (фермерских) хозяйст</t>
  </si>
  <si>
    <t>06WI554801</t>
  </si>
  <si>
    <t>06WI554802</t>
  </si>
  <si>
    <t>06WI554803</t>
  </si>
  <si>
    <t>06WI554804</t>
  </si>
  <si>
    <t>Разработка проектной документации на строительство муниципальных объектов недвижимого имущества в сфере общего образования</t>
  </si>
  <si>
    <t>09WE14П010</t>
  </si>
  <si>
    <t>Реализация мероприятий по формированию и обеспечению функционирования единой федеральной системы научно-методологического сопровождения педагогических работников и управленческих кадров</t>
  </si>
  <si>
    <t>09WE154810</t>
  </si>
  <si>
    <t>Капитальный ремонт объектов недвижимого имущества в сфере культуры</t>
  </si>
  <si>
    <t>10WA155191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</si>
  <si>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</si>
  <si>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</si>
  <si>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10WA155193</t>
  </si>
  <si>
    <t>Приобретение передвижных многофункциональных культурных центров (автоклубов) для обслуживания сельского населения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</si>
  <si>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</si>
  <si>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</si>
  <si>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>Ежемесячная денежная выплата нуждающейся в поддержке семье, назначаемая в случае рождения после 31 декабря 2012 года третьего ребенка или последующих детей до достижения ребенком возраста трех лет</t>
  </si>
  <si>
    <t>Осуществление авторского надзора</t>
  </si>
  <si>
    <t>Строительство (приобретение) объектов коммунальной инфраструктуры государственной собственности Томской области</t>
  </si>
  <si>
    <t xml:space="preserve">5.3  </t>
  </si>
  <si>
    <t>Региональный проект "Жилье", всего</t>
  </si>
  <si>
    <t>Региональный проект "Обеспечение устойчивого  сокращения непригодного для проживания жилищного фонда", всего</t>
  </si>
  <si>
    <t>Стимулирование программ развития жилищного строительства субъектов Российской Федерации</t>
  </si>
  <si>
    <t>13WF150210</t>
  </si>
  <si>
    <t>18WR253930</t>
  </si>
  <si>
    <t>5.4</t>
  </si>
  <si>
    <t>19WF552430</t>
  </si>
  <si>
    <t>19WF501140</t>
  </si>
  <si>
    <t>20WD255890</t>
  </si>
  <si>
    <t>Обеспечение на участках мировых судей формирования и функционирования необходимой информационно-технологической и телекоммуникационной инфраструктуры для организации защищенного межведомственного электронного взаимодействия, приема исковых заявлений, направляемых в электронном виде, и организации участия в заседаниях мировых судов в режиме видео-конференц-связи</t>
  </si>
  <si>
    <t>Оказание комплекса услуг, сервисов и мер поддержки субъектам малого и среднего предпринимательства в центре "Мой бизнес"</t>
  </si>
  <si>
    <t>Государственная поддержка стимулирования увеличения производства масличных культур</t>
  </si>
  <si>
    <t>Обеспечение закупки авиационных работ в целях оказания медицинской помощи</t>
  </si>
  <si>
    <t>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</si>
  <si>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Обеспечение образовательных организаций материально-технической базой для внедрения цифровой образовательной среды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</si>
  <si>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</si>
  <si>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Улучшение экологического состояния гидрографической сети</t>
  </si>
  <si>
    <t>15WG850900</t>
  </si>
  <si>
    <t>Формирование ИТ-инфраструктуры в государственных (муниципальных) образовательных организациях, реализующих программы общего образования, в соответствии с утвержденным стандартом для обеспечения в помещениях безопасного доступа к государственным, муниципальным и иным информационным системам, а также к сети "Интернет"</t>
  </si>
  <si>
    <t>20WD251170</t>
  </si>
  <si>
    <t>Региональный проект "Содействие занятости", всего</t>
  </si>
  <si>
    <t>Комитет по обеспечению деятельности мировых судей Томской области</t>
  </si>
  <si>
    <t>за счет средств местных бюджетов</t>
  </si>
  <si>
    <t>* по данным сводной бюджетной росписи областного бюджета на 2021-2023 годы по состоянию на отчетную дату; лимиты бюджетных обязательств соответствуют плановым назначениям</t>
  </si>
  <si>
    <t>Плановые ассигнования*, в том числе</t>
  </si>
  <si>
    <t>за счет средств местных бюджетов**</t>
  </si>
  <si>
    <t>% исполнения</t>
  </si>
  <si>
    <t>09WP252321</t>
  </si>
  <si>
    <t>Новое строительство и реконструкция (Хирургический корпус на 120 коек с поликлиникой на 200 п/смену ОГАУЗ "Томский областной онкологический диспансер")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</si>
  <si>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 (Строительство спальных корпусов № 1 на 100 койко-мест и № 3 на 70 койко-мест с помещениями административно-бытового обслуживания ОГБУ "Итатский дом-интернат для престарелых и инвалидов" по адресу: Томский район, с.Итатка, ул.Северная,3)</t>
  </si>
  <si>
    <t>09WE152300</t>
  </si>
  <si>
    <t>Создание новых мест в общеобразовательных организациях, расположенных в сельской местности и поселках городского типа</t>
  </si>
  <si>
    <t>09WE152301</t>
  </si>
  <si>
    <t>11WP35121П</t>
  </si>
  <si>
    <t>Разработка проектной документации на строительство объектов коммунальной инфраструктуры государственной собственности Томской области</t>
  </si>
  <si>
    <t>13WF30И030</t>
  </si>
  <si>
    <t>Капитальные вложения в объекты государственной собственности в сфере жилищного строительства</t>
  </si>
  <si>
    <t>09WP241060</t>
  </si>
  <si>
    <t>Оснащение зданий средствами обучения и воспитания для размещения дошкольных образовательных организаций</t>
  </si>
  <si>
    <t>19WF54П130</t>
  </si>
  <si>
    <t>Подготовка проектной документации на объекты водоснабжения (в том числе проведение инженерных изысканий)</t>
  </si>
  <si>
    <t>Департамент по управлению государственной собственностью Томской области</t>
  </si>
  <si>
    <t>06WI554800</t>
  </si>
  <si>
    <t>09WE155201</t>
  </si>
  <si>
    <t>10WA1Д4540</t>
  </si>
  <si>
    <t>Создание модельных муниципальных библиотек</t>
  </si>
  <si>
    <t>Гранты в форме субсидий субъектам малого и среднего предпринимательства, включенным в реестр социальных предпринимателей</t>
  </si>
  <si>
    <t>Региональный проект "Создание условий для легкого старта и комфортного ведения бизнеса", всего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</si>
  <si>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01.08.2021</t>
  </si>
  <si>
    <t xml:space="preserve">ФИО сотрудника Депатамента Финансов Томской  области </t>
  </si>
  <si>
    <t>Описание процента исполнения</t>
  </si>
  <si>
    <t>Петрова Е.В. (приобретение автотранспорта);
Черникова Н.С.(вакцинация);
Шабанова Е.В. (капитальный ремонт, бюджетные инвестиции)</t>
  </si>
  <si>
    <t>Зелендинова Е.В.;
Шабанова Е.В. (капитальный ремонт, бюджетные инвестиции)</t>
  </si>
  <si>
    <t>Щербакова И.В. (создание дошкольных мест у ИП, оснащение дошкольных образовательных организаций);
Шабанова Е.В. (капитальный ремонт, бюджетные инвестиции);  
Супрунова Е.А.</t>
  </si>
  <si>
    <t>Петрова Е.В.</t>
  </si>
  <si>
    <t>Черникова Н.С.</t>
  </si>
  <si>
    <t xml:space="preserve"> Черникова Н.С. (переоснащение мед.организаций);
Шабанова Е.В. (капитальный ремонт, бюджетные инвестиции)
</t>
  </si>
  <si>
    <t>Сургутская Г.И. (Создание (обновление) МТБ й в общеобразовательных организациях, расположенных в сельской местности и малых городах, для реализации  общеобразовательных программ цифрового и гуманитарного профилей и в организациях, осуществляющих образовательную деятельность исключительно по адаптированным основным общеобразовательным программам; 
Оснащение зданий для размещения общеобразовательных организаций);
Шабанова Е.В. (капитальный ремонт, бюджетные инвестиции)</t>
  </si>
  <si>
    <t>Сургутская Г.И. (Внедрение и функционирование целевой модели цифровой образовательной среды в общеобразовательных организациях;
Создание центров цифрового образования детей);
Шишкова Е.В. (Внедрение и функционирование целевой модели цифровой образовательной среды в профессиональных образовательных организациях)</t>
  </si>
  <si>
    <t>Сургутская Г.И. (Развитие региональной системы дополнительного образования детей, включая создание мобильных технопарков "Кванториум"); 
Шабанова Е.В. (капитальный ремонт, бюджетные инвестиции)</t>
  </si>
  <si>
    <t xml:space="preserve">Шишкова Е.В. </t>
  </si>
  <si>
    <t xml:space="preserve">Сургутская Г.И. </t>
  </si>
  <si>
    <t>Мордовин А.О.</t>
  </si>
  <si>
    <t>Дмитриева Т.Е.</t>
  </si>
  <si>
    <t>Сургутская Г.И. (ассигнования 2023)</t>
  </si>
  <si>
    <t>Шабанова Е.В.</t>
  </si>
  <si>
    <t>Гаврилюк В.А.</t>
  </si>
  <si>
    <t>Осокина Д.С.</t>
  </si>
  <si>
    <t>Суханова О.Л.</t>
  </si>
  <si>
    <t>Подъяблонская А.Ф.</t>
  </si>
  <si>
    <t>Щербакова И.В. (создание модельных библиотек, государственная поддержка отрасли культуры за исключением капитального ремонта и бюджетных инвестиций); 
Шабанова Е.В. (капитальный ремонт, бюджетные инвестиции)</t>
  </si>
  <si>
    <t>Щербакова И.В.</t>
  </si>
  <si>
    <t>Сысоева Л.В.</t>
  </si>
  <si>
    <t>Оснащение зданий для размещения дошкольных образовательных организаций оборудованием, средствами обучения и воспитания, предусмотренными проектной документацией</t>
  </si>
  <si>
    <t>Создание виртуальных концертных залов по результатам конкурсного отбора, проводимого Министерством культуры Российской Федерации</t>
  </si>
  <si>
    <t>Создание системы поддержки фермеров и развитие сельской кооперации</t>
  </si>
  <si>
    <r>
      <t xml:space="preserve">Мордовин А.О.; 
</t>
    </r>
    <r>
      <rPr>
        <sz val="11"/>
        <rFont val="PT Astra Serif"/>
        <family val="1"/>
        <charset val="204"/>
      </rPr>
      <t>Шишкова Е.В.(Функционирование учебной производственной площадки "Фабрика процессов")</t>
    </r>
  </si>
  <si>
    <t>11</t>
  </si>
  <si>
    <t>Плановые ассигнования</t>
  </si>
  <si>
    <t>На 01.08.2021</t>
  </si>
  <si>
    <t>исполнено</t>
  </si>
  <si>
    <t>На 20.08.2021</t>
  </si>
  <si>
    <t>09WE141890</t>
  </si>
  <si>
    <t>09WE153050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</si>
  <si>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</si>
  <si>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Создание новых мест в общеобразовательных организациях в связи с ростом числа обучающихся, вызванным демографическим фактором</t>
  </si>
  <si>
    <t>11WP351212</t>
  </si>
  <si>
    <t>Охрана оборудования, приобретенного для оснащения объекта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</si>
  <si>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01.10.2021</t>
  </si>
  <si>
    <t>Обновление информационной системы "Региональный сегмент данных ЕАИС Томской области"</t>
  </si>
  <si>
    <t>02WD503040</t>
  </si>
  <si>
    <t>Департамент тарифного регулирования Томской области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</si>
</sst>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6">
    <font>
      <sz val="11"/>
      <color theme="1"/>
      <name val="Calibri"/>
      <family val="2"/>
      <charset val="204"/>
      <scheme val="minor"/>
    </font>
    <font>
      <i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name val="PT Astra Serif"/>
      <family val="1"/>
      <charset val="204"/>
    </font>
    <font>
      <sz val="13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i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i/>
      <sz val="14"/>
      <color theme="1"/>
      <name val="PT Astra Serif"/>
      <family val="1"/>
      <charset val="204"/>
    </font>
    <font>
      <sz val="13"/>
      <color rgb="FF000000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3" borderId="0" xfId="0" applyFont="1" applyFill="1" applyAlignment="1">
      <alignment horizontal="right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11" fontId="2" fillId="0" borderId="0" xfId="0" applyNumberFormat="1" applyFont="1" applyFill="1"/>
    <xf numFmtId="164" fontId="2" fillId="3" borderId="0" xfId="0" applyNumberFormat="1" applyFont="1" applyFill="1"/>
    <xf numFmtId="0" fontId="2" fillId="3" borderId="0" xfId="0" applyFont="1" applyFill="1"/>
    <xf numFmtId="0" fontId="7" fillId="0" borderId="4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164" fontId="9" fillId="3" borderId="4" xfId="0" applyNumberFormat="1" applyFont="1" applyFill="1" applyBorder="1" applyAlignment="1">
      <alignment horizontal="right" vertical="top" wrapText="1"/>
    </xf>
    <xf numFmtId="165" fontId="9" fillId="3" borderId="4" xfId="0" applyNumberFormat="1" applyFont="1" applyFill="1" applyBorder="1" applyAlignment="1">
      <alignment horizontal="right" vertical="top" wrapText="1"/>
    </xf>
    <xf numFmtId="164" fontId="2" fillId="0" borderId="0" xfId="0" applyNumberFormat="1" applyFont="1"/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right" vertical="top"/>
    </xf>
    <xf numFmtId="165" fontId="6" fillId="2" borderId="4" xfId="0" applyNumberFormat="1" applyFont="1" applyFill="1" applyBorder="1" applyAlignment="1">
      <alignment horizontal="right" vertical="top"/>
    </xf>
    <xf numFmtId="49" fontId="7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164" fontId="6" fillId="3" borderId="4" xfId="0" applyNumberFormat="1" applyFont="1" applyFill="1" applyBorder="1" applyAlignment="1">
      <alignment horizontal="center" vertical="center"/>
    </xf>
    <xf numFmtId="165" fontId="6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top"/>
    </xf>
    <xf numFmtId="164" fontId="10" fillId="3" borderId="4" xfId="0" applyNumberFormat="1" applyFont="1" applyFill="1" applyBorder="1" applyAlignment="1">
      <alignment horizontal="center" vertical="center"/>
    </xf>
    <xf numFmtId="165" fontId="10" fillId="0" borderId="4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 applyProtection="1">
      <alignment horizontal="left" vertical="center" wrapText="1"/>
    </xf>
    <xf numFmtId="49" fontId="11" fillId="3" borderId="4" xfId="0" applyNumberFormat="1" applyFont="1" applyFill="1" applyBorder="1" applyAlignment="1">
      <alignment horizontal="left" vertical="center" wrapText="1"/>
    </xf>
    <xf numFmtId="0" fontId="11" fillId="3" borderId="4" xfId="0" applyNumberFormat="1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top"/>
    </xf>
    <xf numFmtId="164" fontId="6" fillId="2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top" wrapText="1"/>
    </xf>
    <xf numFmtId="0" fontId="11" fillId="3" borderId="4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165" fontId="4" fillId="0" borderId="4" xfId="0" applyNumberFormat="1" applyFont="1" applyFill="1" applyBorder="1" applyAlignment="1">
      <alignment horizontal="center" vertical="center"/>
    </xf>
    <xf numFmtId="0" fontId="3" fillId="0" borderId="0" xfId="0" applyFont="1" applyFill="1"/>
    <xf numFmtId="49" fontId="7" fillId="3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165" fontId="10" fillId="3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1" fontId="8" fillId="3" borderId="4" xfId="0" applyNumberFormat="1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top" wrapText="1"/>
    </xf>
    <xf numFmtId="11" fontId="8" fillId="0" borderId="4" xfId="0" applyNumberFormat="1" applyFont="1" applyFill="1" applyBorder="1" applyAlignment="1">
      <alignment horizontal="center" vertical="top"/>
    </xf>
    <xf numFmtId="49" fontId="8" fillId="0" borderId="4" xfId="0" applyNumberFormat="1" applyFont="1" applyFill="1" applyBorder="1" applyAlignment="1">
      <alignment horizontal="center" vertical="top"/>
    </xf>
    <xf numFmtId="0" fontId="11" fillId="0" borderId="4" xfId="0" applyNumberFormat="1" applyFont="1" applyFill="1" applyBorder="1" applyAlignment="1">
      <alignment horizontal="left" vertical="center" wrapText="1"/>
    </xf>
    <xf numFmtId="0" fontId="2" fillId="2" borderId="0" xfId="0" applyFont="1" applyFill="1"/>
    <xf numFmtId="0" fontId="11" fillId="0" borderId="4" xfId="0" applyFont="1" applyFill="1" applyBorder="1" applyAlignment="1">
      <alignment horizontal="left" vertical="center"/>
    </xf>
    <xf numFmtId="164" fontId="13" fillId="3" borderId="4" xfId="0" applyNumberFormat="1" applyFont="1" applyFill="1" applyBorder="1" applyAlignment="1">
      <alignment horizontal="center" vertical="center"/>
    </xf>
    <xf numFmtId="165" fontId="4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/>
    </xf>
    <xf numFmtId="164" fontId="14" fillId="3" borderId="4" xfId="0" applyNumberFormat="1" applyFont="1" applyFill="1" applyBorder="1" applyAlignment="1">
      <alignment horizontal="right" vertical="top" wrapText="1"/>
    </xf>
    <xf numFmtId="165" fontId="14" fillId="3" borderId="4" xfId="0" applyNumberFormat="1" applyFont="1" applyFill="1" applyBorder="1" applyAlignment="1">
      <alignment horizontal="right" vertical="top" wrapText="1"/>
    </xf>
    <xf numFmtId="164" fontId="10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right" vertical="top"/>
    </xf>
    <xf numFmtId="0" fontId="7" fillId="0" borderId="5" xfId="0" applyFont="1" applyFill="1" applyBorder="1" applyAlignment="1">
      <alignment horizontal="center" vertical="center" wrapText="1"/>
    </xf>
    <xf numFmtId="164" fontId="14" fillId="3" borderId="6" xfId="0" applyNumberFormat="1" applyFont="1" applyFill="1" applyBorder="1" applyAlignment="1">
      <alignment horizontal="right" vertical="top" wrapText="1"/>
    </xf>
    <xf numFmtId="0" fontId="15" fillId="0" borderId="4" xfId="0" applyFont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8" fillId="0" borderId="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top" wrapText="1"/>
    </xf>
    <xf numFmtId="0" fontId="8" fillId="0" borderId="13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Y253"/>
  <sheetViews>
    <sheetView tabSelected="1" zoomScale="60" zoomScaleNormal="60" zoomScaleSheetLayoutView="75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L17" sqref="L17"/>
    </sheetView>
  </sheetViews>
  <sheetFormatPr defaultColWidth="8.85546875" defaultRowHeight="15"/>
  <cols>
    <col min="1" max="1" width="6.42578125" style="5" customWidth="1"/>
    <col min="2" max="2" width="56.42578125" style="6" customWidth="1"/>
    <col min="3" max="3" width="7.7109375" style="5" customWidth="1"/>
    <col min="4" max="4" width="38.7109375" style="5" customWidth="1"/>
    <col min="5" max="5" width="18.140625" style="5" customWidth="1"/>
    <col min="6" max="6" width="17.5703125" style="5" customWidth="1"/>
    <col min="7" max="8" width="15.85546875" style="9" customWidth="1"/>
    <col min="9" max="9" width="14.85546875" style="9" customWidth="1"/>
    <col min="10" max="10" width="15.5703125" style="9" customWidth="1"/>
    <col min="11" max="12" width="15.85546875" style="9" customWidth="1"/>
    <col min="13" max="13" width="13" style="9" customWidth="1"/>
    <col min="14" max="14" width="16.85546875" style="5" customWidth="1"/>
    <col min="15" max="15" width="15.85546875" style="9" customWidth="1"/>
    <col min="16" max="16" width="16.85546875" style="9" customWidth="1"/>
    <col min="17" max="17" width="14.140625" style="9" customWidth="1"/>
    <col min="18" max="18" width="16.7109375" style="5" customWidth="1"/>
    <col min="19" max="19" width="16.42578125" style="9" customWidth="1"/>
    <col min="20" max="20" width="16.5703125" style="9" customWidth="1"/>
    <col min="21" max="21" width="13.42578125" style="9" customWidth="1"/>
    <col min="22" max="22" width="10.28515625" style="5" customWidth="1"/>
    <col min="23" max="23" width="50" style="4" hidden="1" customWidth="1"/>
    <col min="24" max="24" width="0" style="4" hidden="1" customWidth="1"/>
    <col min="25" max="25" width="8.85546875" style="4"/>
    <col min="26" max="26" width="19" style="4" customWidth="1"/>
    <col min="27" max="27" width="18.7109375" style="4" customWidth="1"/>
    <col min="28" max="29" width="18.28515625" style="4" bestFit="1" customWidth="1"/>
    <col min="30" max="103" width="8.85546875" style="4"/>
    <col min="104" max="16384" width="8.85546875" style="5"/>
  </cols>
  <sheetData>
    <row r="1" spans="1:29" ht="15" customHeight="1">
      <c r="A1" s="111" t="s">
        <v>386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</row>
    <row r="2" spans="1:29" ht="37.5" customHeight="1">
      <c r="A2" s="111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</row>
    <row r="3" spans="1:29">
      <c r="E3" s="7"/>
      <c r="G3" s="8"/>
      <c r="T3" s="1"/>
      <c r="U3" s="1" t="s">
        <v>264</v>
      </c>
    </row>
    <row r="4" spans="1:29" ht="16.5" customHeight="1">
      <c r="A4" s="112" t="s">
        <v>0</v>
      </c>
      <c r="B4" s="115" t="s">
        <v>1</v>
      </c>
      <c r="C4" s="112" t="s">
        <v>2</v>
      </c>
      <c r="D4" s="112" t="s">
        <v>3</v>
      </c>
      <c r="E4" s="112" t="s">
        <v>4</v>
      </c>
      <c r="F4" s="123" t="s">
        <v>261</v>
      </c>
      <c r="G4" s="124"/>
      <c r="H4" s="124"/>
      <c r="I4" s="125"/>
      <c r="J4" s="123" t="s">
        <v>261</v>
      </c>
      <c r="K4" s="124"/>
      <c r="L4" s="124"/>
      <c r="M4" s="125"/>
      <c r="N4" s="123" t="s">
        <v>262</v>
      </c>
      <c r="O4" s="124"/>
      <c r="P4" s="124"/>
      <c r="Q4" s="125"/>
      <c r="R4" s="126" t="s">
        <v>263</v>
      </c>
      <c r="S4" s="126"/>
      <c r="T4" s="126"/>
      <c r="U4" s="126"/>
      <c r="V4" s="105" t="s">
        <v>324</v>
      </c>
      <c r="W4" s="108" t="s">
        <v>347</v>
      </c>
      <c r="X4" s="108" t="s">
        <v>348</v>
      </c>
    </row>
    <row r="5" spans="1:29" ht="16.5" customHeight="1">
      <c r="A5" s="113"/>
      <c r="B5" s="116"/>
      <c r="C5" s="113"/>
      <c r="D5" s="113"/>
      <c r="E5" s="118"/>
      <c r="F5" s="120" t="s">
        <v>322</v>
      </c>
      <c r="G5" s="121"/>
      <c r="H5" s="121"/>
      <c r="I5" s="122"/>
      <c r="J5" s="120" t="s">
        <v>5</v>
      </c>
      <c r="K5" s="121"/>
      <c r="L5" s="121"/>
      <c r="M5" s="122"/>
      <c r="N5" s="120" t="s">
        <v>322</v>
      </c>
      <c r="O5" s="121"/>
      <c r="P5" s="121"/>
      <c r="Q5" s="122"/>
      <c r="R5" s="127" t="s">
        <v>322</v>
      </c>
      <c r="S5" s="127"/>
      <c r="T5" s="127"/>
      <c r="U5" s="127"/>
      <c r="V5" s="106"/>
      <c r="W5" s="109"/>
      <c r="X5" s="109"/>
    </row>
    <row r="6" spans="1:29" ht="82.5">
      <c r="A6" s="114"/>
      <c r="B6" s="117"/>
      <c r="C6" s="114"/>
      <c r="D6" s="114"/>
      <c r="E6" s="119"/>
      <c r="F6" s="10" t="s">
        <v>6</v>
      </c>
      <c r="G6" s="11" t="s">
        <v>7</v>
      </c>
      <c r="H6" s="11" t="s">
        <v>8</v>
      </c>
      <c r="I6" s="11" t="s">
        <v>323</v>
      </c>
      <c r="J6" s="10" t="s">
        <v>6</v>
      </c>
      <c r="K6" s="11" t="s">
        <v>7</v>
      </c>
      <c r="L6" s="11" t="s">
        <v>8</v>
      </c>
      <c r="M6" s="11" t="s">
        <v>323</v>
      </c>
      <c r="N6" s="10" t="s">
        <v>6</v>
      </c>
      <c r="O6" s="11" t="s">
        <v>7</v>
      </c>
      <c r="P6" s="11" t="s">
        <v>8</v>
      </c>
      <c r="Q6" s="11" t="s">
        <v>320</v>
      </c>
      <c r="R6" s="10" t="s">
        <v>6</v>
      </c>
      <c r="S6" s="11" t="s">
        <v>7</v>
      </c>
      <c r="T6" s="11" t="s">
        <v>8</v>
      </c>
      <c r="U6" s="11" t="s">
        <v>320</v>
      </c>
      <c r="V6" s="107"/>
      <c r="W6" s="110"/>
      <c r="X6" s="110"/>
    </row>
    <row r="7" spans="1:29" ht="16.5">
      <c r="A7" s="12" t="s">
        <v>9</v>
      </c>
      <c r="B7" s="13">
        <v>2</v>
      </c>
      <c r="C7" s="14">
        <v>3</v>
      </c>
      <c r="D7" s="14">
        <v>4</v>
      </c>
      <c r="E7" s="14">
        <v>5</v>
      </c>
      <c r="F7" s="10">
        <v>6</v>
      </c>
      <c r="G7" s="11">
        <v>7</v>
      </c>
      <c r="H7" s="11">
        <v>8</v>
      </c>
      <c r="I7" s="11">
        <v>9</v>
      </c>
      <c r="J7" s="10">
        <v>10</v>
      </c>
      <c r="K7" s="11">
        <v>11</v>
      </c>
      <c r="L7" s="11">
        <v>12</v>
      </c>
      <c r="M7" s="11">
        <v>13</v>
      </c>
      <c r="N7" s="10">
        <v>14</v>
      </c>
      <c r="O7" s="11">
        <v>15</v>
      </c>
      <c r="P7" s="11">
        <v>16</v>
      </c>
      <c r="Q7" s="11">
        <v>17</v>
      </c>
      <c r="R7" s="10">
        <v>18</v>
      </c>
      <c r="S7" s="11">
        <v>19</v>
      </c>
      <c r="T7" s="11">
        <v>20</v>
      </c>
      <c r="U7" s="11">
        <v>21</v>
      </c>
      <c r="V7" s="11">
        <v>22</v>
      </c>
      <c r="W7" s="3">
        <v>23</v>
      </c>
      <c r="X7" s="3">
        <v>24</v>
      </c>
    </row>
    <row r="8" spans="1:29" ht="19.5">
      <c r="A8" s="15"/>
      <c r="B8" s="16" t="s">
        <v>10</v>
      </c>
      <c r="C8" s="14"/>
      <c r="D8" s="14"/>
      <c r="E8" s="14"/>
      <c r="F8" s="17">
        <f>G8+H8+I8</f>
        <v>19207485</v>
      </c>
      <c r="G8" s="17">
        <f>G9+G41+G59+G97+G119+G136+G150+G164+G182+G203+G208</f>
        <v>8338018.9000000004</v>
      </c>
      <c r="H8" s="17">
        <f>H9+H41+H59+H97+H119+H136+H150+H164+H182+H203+H208</f>
        <v>9986712.5</v>
      </c>
      <c r="I8" s="17">
        <f>I9+I41+I59+I97+I119+I136+I150+I164+I182+I203+I208</f>
        <v>882753.6</v>
      </c>
      <c r="J8" s="17">
        <f>K8+L8+M8</f>
        <v>8999574.6999999993</v>
      </c>
      <c r="K8" s="17">
        <f>K9+K41+K59+K97+K119+K136+K150+K164+K182+K203+K208</f>
        <v>4641149.5999999996</v>
      </c>
      <c r="L8" s="17">
        <f>L9+L41+L59+L97+L119+L136+L150+L164+L182+L203+L208</f>
        <v>4024981.2</v>
      </c>
      <c r="M8" s="17">
        <f>M9+M41+M59+M97+M119+M136+M150+M164+M182+M203+M208</f>
        <v>333443.90000000002</v>
      </c>
      <c r="N8" s="17">
        <f>O8+P8+Q8</f>
        <v>10883046.800000001</v>
      </c>
      <c r="O8" s="17">
        <f>O9+O41+O59+O97+O119+O136+O150+O164+O182+O203+O208</f>
        <v>5715996.5</v>
      </c>
      <c r="P8" s="17">
        <f>P9+P41+P59+P97+P119+P136+P150+P164+P182+P203+P208</f>
        <v>5026048</v>
      </c>
      <c r="Q8" s="17">
        <f>Q9+Q41+Q59+Q97+Q119+Q136+Q150+Q164+Q182+Q203+Q208</f>
        <v>141002.29999999999</v>
      </c>
      <c r="R8" s="17">
        <f>S8+T8+U8</f>
        <v>11749019</v>
      </c>
      <c r="S8" s="17">
        <f>S9+S41+S59+S97+S119+S136+S150+S164+S182+S203+S208</f>
        <v>6284337</v>
      </c>
      <c r="T8" s="17">
        <f>T9+T41+T59+T97+T119+T136+T150+T164+T182+T203+T208</f>
        <v>5340504.5999999996</v>
      </c>
      <c r="U8" s="17">
        <f>U9+U41+U59+U97+U119+U136+U150+U164+U182+U203+U208</f>
        <v>124177.4</v>
      </c>
      <c r="V8" s="18">
        <f>J8/F8</f>
        <v>0.46899999999999997</v>
      </c>
      <c r="W8" s="2"/>
      <c r="X8" s="2"/>
      <c r="Z8" s="19"/>
    </row>
    <row r="9" spans="1:29" ht="18.75">
      <c r="A9" s="20">
        <v>1</v>
      </c>
      <c r="B9" s="21" t="s">
        <v>11</v>
      </c>
      <c r="C9" s="22" t="s">
        <v>12</v>
      </c>
      <c r="D9" s="22" t="s">
        <v>12</v>
      </c>
      <c r="E9" s="22" t="s">
        <v>12</v>
      </c>
      <c r="F9" s="23">
        <f t="shared" ref="F9:F45" si="0">G9+H9+I9</f>
        <v>4470134.5999999996</v>
      </c>
      <c r="G9" s="23">
        <f>G10+G18+G28+G36</f>
        <v>2034172.7</v>
      </c>
      <c r="H9" s="23">
        <f>H10+H18+H28+H36</f>
        <v>2379445.7999999998</v>
      </c>
      <c r="I9" s="23">
        <f>I10+I18+I28+I36</f>
        <v>56516.1</v>
      </c>
      <c r="J9" s="23">
        <f t="shared" ref="J9:J10" si="1">K9+L9+M9</f>
        <v>2605091.5</v>
      </c>
      <c r="K9" s="23">
        <f>K10+K18+K28+K36</f>
        <v>1002808.9</v>
      </c>
      <c r="L9" s="23">
        <f>L10+L18+L28+L36</f>
        <v>1552994.1</v>
      </c>
      <c r="M9" s="23">
        <f>M10+M18+M28+M36</f>
        <v>49288.5</v>
      </c>
      <c r="N9" s="23">
        <f t="shared" ref="N9:N10" si="2">O9+P9+Q9</f>
        <v>2264211</v>
      </c>
      <c r="O9" s="23">
        <f>O10+O18+O28+O36</f>
        <v>392812.9</v>
      </c>
      <c r="P9" s="23">
        <f>P10+P18+P28+P36</f>
        <v>1859038.1</v>
      </c>
      <c r="Q9" s="23">
        <f>Q10+Q18+Q28+Q36</f>
        <v>12360</v>
      </c>
      <c r="R9" s="23">
        <f t="shared" ref="R9:R10" si="3">S9+T9+U9</f>
        <v>1989744.3</v>
      </c>
      <c r="S9" s="23">
        <f>S10+S18+S28+S36</f>
        <v>198546.6</v>
      </c>
      <c r="T9" s="23">
        <f>T10+T18+T28+T36</f>
        <v>1779373.1</v>
      </c>
      <c r="U9" s="23">
        <f>U10+U18+U28+U36</f>
        <v>11824.6</v>
      </c>
      <c r="V9" s="24">
        <f t="shared" ref="V9:V45" si="4">J9/F9</f>
        <v>0.58299999999999996</v>
      </c>
      <c r="W9" s="2"/>
      <c r="X9" s="2"/>
      <c r="Z9" s="19"/>
      <c r="AA9" s="19"/>
      <c r="AB9" s="19"/>
    </row>
    <row r="10" spans="1:29" ht="39.75" customHeight="1">
      <c r="A10" s="25" t="s">
        <v>13</v>
      </c>
      <c r="B10" s="26" t="s">
        <v>14</v>
      </c>
      <c r="C10" s="27" t="s">
        <v>12</v>
      </c>
      <c r="D10" s="27" t="s">
        <v>12</v>
      </c>
      <c r="E10" s="27" t="s">
        <v>12</v>
      </c>
      <c r="F10" s="28">
        <f>G10+H10+I10</f>
        <v>125928.9</v>
      </c>
      <c r="G10" s="29">
        <f>SUM(G12:G17)</f>
        <v>74204.7</v>
      </c>
      <c r="H10" s="29">
        <f>SUM(H12:H17)</f>
        <v>51724.2</v>
      </c>
      <c r="I10" s="29">
        <f>SUM(I12:I17)</f>
        <v>0</v>
      </c>
      <c r="J10" s="28">
        <f t="shared" si="1"/>
        <v>2465.1999999999998</v>
      </c>
      <c r="K10" s="29">
        <f>SUM(K12:K17)</f>
        <v>65.3</v>
      </c>
      <c r="L10" s="29">
        <f>SUM(L12:L17)</f>
        <v>2399.9</v>
      </c>
      <c r="M10" s="29">
        <f>SUM(M12:M17)</f>
        <v>0</v>
      </c>
      <c r="N10" s="28">
        <f t="shared" si="2"/>
        <v>289.7</v>
      </c>
      <c r="O10" s="29">
        <f>SUM(O12:O17)</f>
        <v>0</v>
      </c>
      <c r="P10" s="29">
        <f>SUM(P12:P17)</f>
        <v>289.7</v>
      </c>
      <c r="Q10" s="29">
        <f>SUM(Q12:Q17)</f>
        <v>0</v>
      </c>
      <c r="R10" s="28">
        <f t="shared" si="3"/>
        <v>289.7</v>
      </c>
      <c r="S10" s="29">
        <f>SUM(S12:S17)</f>
        <v>0</v>
      </c>
      <c r="T10" s="29">
        <f>SUM(T12:T17)</f>
        <v>289.7</v>
      </c>
      <c r="U10" s="29">
        <f>SUM(U12:U17)</f>
        <v>0</v>
      </c>
      <c r="V10" s="30">
        <f t="shared" si="4"/>
        <v>0.02</v>
      </c>
      <c r="W10" s="31" t="s">
        <v>349</v>
      </c>
      <c r="X10" s="2"/>
      <c r="Z10" s="19"/>
      <c r="AA10" s="19"/>
      <c r="AB10" s="19"/>
      <c r="AC10" s="19"/>
    </row>
    <row r="11" spans="1:29" ht="18.75">
      <c r="A11" s="25"/>
      <c r="B11" s="32" t="s">
        <v>15</v>
      </c>
      <c r="C11" s="33"/>
      <c r="D11" s="33"/>
      <c r="E11" s="33"/>
      <c r="F11" s="28"/>
      <c r="G11" s="34"/>
      <c r="H11" s="34"/>
      <c r="I11" s="34"/>
      <c r="J11" s="28"/>
      <c r="K11" s="34"/>
      <c r="L11" s="34"/>
      <c r="M11" s="34"/>
      <c r="N11" s="28"/>
      <c r="O11" s="34"/>
      <c r="P11" s="34"/>
      <c r="Q11" s="34"/>
      <c r="R11" s="28"/>
      <c r="S11" s="34"/>
      <c r="T11" s="34"/>
      <c r="U11" s="34"/>
      <c r="V11" s="35"/>
      <c r="W11" s="2"/>
      <c r="X11" s="2"/>
      <c r="Z11" s="19"/>
      <c r="AB11" s="19"/>
    </row>
    <row r="12" spans="1:29" ht="75.75" customHeight="1">
      <c r="A12" s="25"/>
      <c r="B12" s="36" t="s">
        <v>18</v>
      </c>
      <c r="C12" s="37">
        <v>811</v>
      </c>
      <c r="D12" s="38" t="s">
        <v>17</v>
      </c>
      <c r="E12" s="37" t="s">
        <v>241</v>
      </c>
      <c r="F12" s="28">
        <f t="shared" si="0"/>
        <v>289.60000000000002</v>
      </c>
      <c r="G12" s="34"/>
      <c r="H12" s="34">
        <v>289.60000000000002</v>
      </c>
      <c r="I12" s="34"/>
      <c r="J12" s="28">
        <f t="shared" ref="J12:J18" si="5">K12+L12+M12</f>
        <v>288.2</v>
      </c>
      <c r="K12" s="34"/>
      <c r="L12" s="34">
        <v>288.2</v>
      </c>
      <c r="M12" s="34"/>
      <c r="N12" s="28">
        <f>O12+P12+Q12</f>
        <v>289.7</v>
      </c>
      <c r="O12" s="34"/>
      <c r="P12" s="34">
        <v>289.7</v>
      </c>
      <c r="Q12" s="34"/>
      <c r="R12" s="28">
        <f>S12+T12+U12</f>
        <v>289.7</v>
      </c>
      <c r="S12" s="34"/>
      <c r="T12" s="34">
        <v>289.7</v>
      </c>
      <c r="U12" s="34"/>
      <c r="V12" s="35">
        <f t="shared" si="4"/>
        <v>0.995</v>
      </c>
      <c r="W12" s="2"/>
      <c r="X12" s="2"/>
      <c r="Z12" s="19"/>
      <c r="AB12" s="19"/>
    </row>
    <row r="13" spans="1:29" ht="38.25" customHeight="1">
      <c r="A13" s="25"/>
      <c r="B13" s="36" t="s">
        <v>295</v>
      </c>
      <c r="C13" s="37">
        <v>821</v>
      </c>
      <c r="D13" s="38" t="s">
        <v>19</v>
      </c>
      <c r="E13" s="37" t="s">
        <v>256</v>
      </c>
      <c r="F13" s="28">
        <f t="shared" si="0"/>
        <v>8.3000000000000007</v>
      </c>
      <c r="G13" s="34">
        <v>8.3000000000000007</v>
      </c>
      <c r="H13" s="34"/>
      <c r="I13" s="34"/>
      <c r="J13" s="28">
        <f t="shared" si="5"/>
        <v>0</v>
      </c>
      <c r="K13" s="34"/>
      <c r="L13" s="34"/>
      <c r="M13" s="34"/>
      <c r="N13" s="28">
        <f t="shared" ref="N13:N18" si="6">O13+P13+Q13</f>
        <v>0</v>
      </c>
      <c r="O13" s="34"/>
      <c r="P13" s="34"/>
      <c r="Q13" s="34"/>
      <c r="R13" s="28">
        <f t="shared" ref="R13:R18" si="7">S13+T13+U13</f>
        <v>0</v>
      </c>
      <c r="S13" s="34"/>
      <c r="T13" s="34"/>
      <c r="U13" s="34"/>
      <c r="V13" s="35">
        <f t="shared" si="4"/>
        <v>0</v>
      </c>
      <c r="W13" s="2"/>
      <c r="X13" s="2"/>
      <c r="Z13" s="19"/>
      <c r="AA13" s="19"/>
    </row>
    <row r="14" spans="1:29" ht="38.25" customHeight="1">
      <c r="A14" s="25"/>
      <c r="B14" s="36" t="s">
        <v>385</v>
      </c>
      <c r="C14" s="37">
        <v>821</v>
      </c>
      <c r="D14" s="38" t="s">
        <v>19</v>
      </c>
      <c r="E14" s="37" t="s">
        <v>384</v>
      </c>
      <c r="F14" s="28">
        <f t="shared" ref="F14" si="8">G14+H14+I14</f>
        <v>380.6</v>
      </c>
      <c r="G14" s="34">
        <v>380.6</v>
      </c>
      <c r="H14" s="34"/>
      <c r="I14" s="34"/>
      <c r="J14" s="28">
        <f t="shared" ref="J14" si="9">K14+L14+M14</f>
        <v>0</v>
      </c>
      <c r="K14" s="34"/>
      <c r="L14" s="34"/>
      <c r="M14" s="34"/>
      <c r="N14" s="28">
        <f t="shared" ref="N14" si="10">O14+P14+Q14</f>
        <v>0</v>
      </c>
      <c r="O14" s="34"/>
      <c r="P14" s="34"/>
      <c r="Q14" s="34"/>
      <c r="R14" s="28">
        <f t="shared" ref="R14" si="11">S14+T14+U14</f>
        <v>0</v>
      </c>
      <c r="S14" s="34"/>
      <c r="T14" s="34"/>
      <c r="U14" s="34"/>
      <c r="V14" s="35">
        <f t="shared" ref="V14" si="12">J14/F14</f>
        <v>0</v>
      </c>
      <c r="W14" s="2"/>
      <c r="X14" s="2"/>
      <c r="Z14" s="19"/>
      <c r="AA14" s="19"/>
    </row>
    <row r="15" spans="1:29" ht="57" customHeight="1">
      <c r="A15" s="25"/>
      <c r="B15" s="36" t="s">
        <v>296</v>
      </c>
      <c r="C15" s="37">
        <v>821</v>
      </c>
      <c r="D15" s="38" t="s">
        <v>19</v>
      </c>
      <c r="E15" s="37" t="s">
        <v>251</v>
      </c>
      <c r="F15" s="28">
        <f t="shared" si="0"/>
        <v>66970</v>
      </c>
      <c r="G15" s="34">
        <f>37400+29570</f>
        <v>66970</v>
      </c>
      <c r="H15" s="34"/>
      <c r="I15" s="17"/>
      <c r="J15" s="28">
        <f t="shared" si="5"/>
        <v>0</v>
      </c>
      <c r="K15" s="34"/>
      <c r="L15" s="34"/>
      <c r="M15" s="34"/>
      <c r="N15" s="28">
        <f t="shared" si="6"/>
        <v>0</v>
      </c>
      <c r="O15" s="34"/>
      <c r="P15" s="34"/>
      <c r="Q15" s="34"/>
      <c r="R15" s="28">
        <f t="shared" si="7"/>
        <v>0</v>
      </c>
      <c r="S15" s="34"/>
      <c r="T15" s="34"/>
      <c r="U15" s="34"/>
      <c r="V15" s="35">
        <f t="shared" si="4"/>
        <v>0</v>
      </c>
      <c r="W15" s="2"/>
      <c r="X15" s="2"/>
      <c r="Z15" s="19"/>
    </row>
    <row r="16" spans="1:29" ht="76.5" customHeight="1">
      <c r="A16" s="25"/>
      <c r="B16" s="36" t="s">
        <v>332</v>
      </c>
      <c r="C16" s="37">
        <v>821</v>
      </c>
      <c r="D16" s="38" t="s">
        <v>19</v>
      </c>
      <c r="E16" s="37" t="s">
        <v>331</v>
      </c>
      <c r="F16" s="28">
        <f t="shared" ref="F16" si="13">G16+H16+I16</f>
        <v>5255</v>
      </c>
      <c r="G16" s="34">
        <v>5255</v>
      </c>
      <c r="H16" s="34"/>
      <c r="I16" s="34"/>
      <c r="J16" s="28">
        <f t="shared" ref="J16" si="14">K16+L16+M16</f>
        <v>0</v>
      </c>
      <c r="K16" s="34"/>
      <c r="L16" s="34"/>
      <c r="M16" s="34"/>
      <c r="N16" s="28">
        <f t="shared" ref="N16" si="15">O16+P16+Q16</f>
        <v>0</v>
      </c>
      <c r="O16" s="34"/>
      <c r="P16" s="34"/>
      <c r="Q16" s="34"/>
      <c r="R16" s="28">
        <f t="shared" ref="R16" si="16">S16+T16+U16</f>
        <v>0</v>
      </c>
      <c r="S16" s="34"/>
      <c r="T16" s="34"/>
      <c r="U16" s="34"/>
      <c r="V16" s="35">
        <f t="shared" ref="V16" si="17">J16/F16</f>
        <v>0</v>
      </c>
      <c r="W16" s="2"/>
      <c r="X16" s="2"/>
      <c r="Z16" s="19"/>
    </row>
    <row r="17" spans="1:26" ht="156.75" customHeight="1">
      <c r="A17" s="25"/>
      <c r="B17" s="39" t="s">
        <v>327</v>
      </c>
      <c r="C17" s="37">
        <v>821</v>
      </c>
      <c r="D17" s="38" t="s">
        <v>19</v>
      </c>
      <c r="E17" s="37" t="s">
        <v>192</v>
      </c>
      <c r="F17" s="28">
        <f t="shared" si="0"/>
        <v>53025.4</v>
      </c>
      <c r="G17" s="34">
        <v>1590.8</v>
      </c>
      <c r="H17" s="34">
        <v>51434.6</v>
      </c>
      <c r="I17" s="34"/>
      <c r="J17" s="28">
        <f t="shared" si="5"/>
        <v>2177</v>
      </c>
      <c r="K17" s="34">
        <f>60.6+4.7</f>
        <v>65.3</v>
      </c>
      <c r="L17" s="34">
        <f>1960.1+151.6</f>
        <v>2111.6999999999998</v>
      </c>
      <c r="M17" s="34"/>
      <c r="N17" s="28">
        <f t="shared" si="6"/>
        <v>0</v>
      </c>
      <c r="O17" s="34"/>
      <c r="P17" s="34"/>
      <c r="Q17" s="34"/>
      <c r="R17" s="28">
        <f t="shared" si="7"/>
        <v>0</v>
      </c>
      <c r="S17" s="34"/>
      <c r="T17" s="34"/>
      <c r="U17" s="34"/>
      <c r="V17" s="35">
        <f t="shared" si="4"/>
        <v>4.1000000000000002E-2</v>
      </c>
      <c r="W17" s="2"/>
      <c r="X17" s="2"/>
      <c r="Z17" s="19"/>
    </row>
    <row r="18" spans="1:26" ht="45">
      <c r="A18" s="12" t="s">
        <v>21</v>
      </c>
      <c r="B18" s="26" t="s">
        <v>22</v>
      </c>
      <c r="C18" s="40" t="s">
        <v>12</v>
      </c>
      <c r="D18" s="40" t="s">
        <v>12</v>
      </c>
      <c r="E18" s="40" t="s">
        <v>12</v>
      </c>
      <c r="F18" s="29">
        <f t="shared" si="0"/>
        <v>452764.1</v>
      </c>
      <c r="G18" s="29">
        <f t="shared" ref="G18:H18" si="18">SUM(G20:G27)</f>
        <v>178478.4</v>
      </c>
      <c r="H18" s="29">
        <f t="shared" si="18"/>
        <v>249138.5</v>
      </c>
      <c r="I18" s="29">
        <f t="shared" ref="I18" si="19">SUM(I20:I27)</f>
        <v>25147.200000000001</v>
      </c>
      <c r="J18" s="29">
        <f t="shared" si="5"/>
        <v>209654.6</v>
      </c>
      <c r="K18" s="29">
        <f t="shared" ref="K18:M18" si="20">SUM(K20:K27)</f>
        <v>148452.6</v>
      </c>
      <c r="L18" s="29">
        <f t="shared" si="20"/>
        <v>42181.5</v>
      </c>
      <c r="M18" s="29">
        <f t="shared" si="20"/>
        <v>19020.5</v>
      </c>
      <c r="N18" s="28">
        <f t="shared" si="6"/>
        <v>211214.7</v>
      </c>
      <c r="O18" s="29">
        <f t="shared" ref="O18:T18" si="21">SUM(O20:O27)</f>
        <v>96642.8</v>
      </c>
      <c r="P18" s="29">
        <f t="shared" si="21"/>
        <v>102211.9</v>
      </c>
      <c r="Q18" s="29">
        <f t="shared" si="21"/>
        <v>12360</v>
      </c>
      <c r="R18" s="28">
        <f t="shared" si="7"/>
        <v>135565.1</v>
      </c>
      <c r="S18" s="29">
        <f t="shared" si="21"/>
        <v>94389.3</v>
      </c>
      <c r="T18" s="29">
        <f t="shared" si="21"/>
        <v>29351.200000000001</v>
      </c>
      <c r="U18" s="29">
        <f t="shared" ref="U18" si="22">SUM(U20:U27)</f>
        <v>11824.6</v>
      </c>
      <c r="V18" s="41">
        <f t="shared" si="4"/>
        <v>0.46300000000000002</v>
      </c>
      <c r="W18" s="31" t="s">
        <v>350</v>
      </c>
      <c r="X18" s="2"/>
    </row>
    <row r="19" spans="1:26" ht="18.75">
      <c r="A19" s="42"/>
      <c r="B19" s="43" t="s">
        <v>15</v>
      </c>
      <c r="C19" s="33"/>
      <c r="D19" s="33"/>
      <c r="E19" s="33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41"/>
      <c r="W19" s="2"/>
      <c r="X19" s="2"/>
    </row>
    <row r="20" spans="1:26" ht="53.25" customHeight="1">
      <c r="A20" s="42"/>
      <c r="B20" s="44" t="s">
        <v>23</v>
      </c>
      <c r="C20" s="37">
        <v>813</v>
      </c>
      <c r="D20" s="45" t="s">
        <v>24</v>
      </c>
      <c r="E20" s="37" t="s">
        <v>164</v>
      </c>
      <c r="F20" s="29">
        <f t="shared" si="0"/>
        <v>28964.5</v>
      </c>
      <c r="G20" s="34">
        <f>748.1+3578.6</f>
        <v>4326.7</v>
      </c>
      <c r="H20" s="34">
        <v>24185.3</v>
      </c>
      <c r="I20" s="34">
        <v>452.5</v>
      </c>
      <c r="J20" s="28">
        <f t="shared" ref="J20:J28" si="23">K20+L20+M20</f>
        <v>2712.5</v>
      </c>
      <c r="K20" s="34">
        <v>399.3</v>
      </c>
      <c r="L20" s="34">
        <v>2231.8000000000002</v>
      </c>
      <c r="M20" s="34">
        <v>81.400000000000006</v>
      </c>
      <c r="N20" s="28">
        <f t="shared" ref="N20:N28" si="24">O20+P20+Q20</f>
        <v>6331.4</v>
      </c>
      <c r="O20" s="34">
        <v>185.7</v>
      </c>
      <c r="P20" s="34">
        <v>6003.7</v>
      </c>
      <c r="Q20" s="34">
        <v>142</v>
      </c>
      <c r="R20" s="28">
        <f t="shared" ref="R20:R28" si="25">S20+T20+U20</f>
        <v>6191.1</v>
      </c>
      <c r="S20" s="34">
        <v>185.7</v>
      </c>
      <c r="T20" s="34">
        <v>6005.4</v>
      </c>
      <c r="U20" s="34"/>
      <c r="V20" s="35">
        <f t="shared" si="4"/>
        <v>9.4E-2</v>
      </c>
      <c r="W20" s="2"/>
      <c r="X20" s="2"/>
    </row>
    <row r="21" spans="1:26" ht="39" customHeight="1">
      <c r="A21" s="42"/>
      <c r="B21" s="44" t="s">
        <v>133</v>
      </c>
      <c r="C21" s="37">
        <v>821</v>
      </c>
      <c r="D21" s="45" t="s">
        <v>19</v>
      </c>
      <c r="E21" s="37" t="s">
        <v>233</v>
      </c>
      <c r="F21" s="29">
        <f t="shared" si="0"/>
        <v>41195.4</v>
      </c>
      <c r="G21" s="34">
        <v>35000</v>
      </c>
      <c r="H21" s="34"/>
      <c r="I21" s="34">
        <v>6195.4</v>
      </c>
      <c r="J21" s="28">
        <f t="shared" si="23"/>
        <v>41195.4</v>
      </c>
      <c r="K21" s="34">
        <f>14631.2+14667.8+5701</f>
        <v>35000</v>
      </c>
      <c r="L21" s="34"/>
      <c r="M21" s="34">
        <v>6195.4</v>
      </c>
      <c r="N21" s="28">
        <f t="shared" si="24"/>
        <v>0</v>
      </c>
      <c r="O21" s="34"/>
      <c r="P21" s="34"/>
      <c r="Q21" s="34"/>
      <c r="R21" s="28">
        <f t="shared" si="25"/>
        <v>0</v>
      </c>
      <c r="S21" s="34"/>
      <c r="T21" s="34"/>
      <c r="U21" s="34"/>
      <c r="V21" s="35">
        <f t="shared" si="4"/>
        <v>1</v>
      </c>
      <c r="W21" s="2"/>
      <c r="X21" s="2"/>
    </row>
    <row r="22" spans="1:26" ht="78" customHeight="1">
      <c r="A22" s="42"/>
      <c r="B22" s="44" t="s">
        <v>215</v>
      </c>
      <c r="C22" s="37">
        <v>813</v>
      </c>
      <c r="D22" s="38" t="s">
        <v>24</v>
      </c>
      <c r="E22" s="37" t="s">
        <v>214</v>
      </c>
      <c r="F22" s="29">
        <f t="shared" si="0"/>
        <v>47368.4</v>
      </c>
      <c r="G22" s="34">
        <v>45000</v>
      </c>
      <c r="H22" s="34"/>
      <c r="I22" s="34">
        <v>2368.4</v>
      </c>
      <c r="J22" s="28">
        <f t="shared" si="23"/>
        <v>47040.7</v>
      </c>
      <c r="K22" s="34">
        <f>11508.6+2660+30831.4</f>
        <v>45000</v>
      </c>
      <c r="L22" s="34"/>
      <c r="M22" s="34">
        <v>2040.7</v>
      </c>
      <c r="N22" s="28">
        <f t="shared" si="24"/>
        <v>10526.3</v>
      </c>
      <c r="O22" s="34">
        <v>10000</v>
      </c>
      <c r="P22" s="34"/>
      <c r="Q22" s="34">
        <v>526.29999999999995</v>
      </c>
      <c r="R22" s="28">
        <f t="shared" si="25"/>
        <v>10526.3</v>
      </c>
      <c r="S22" s="34">
        <v>10000</v>
      </c>
      <c r="T22" s="34"/>
      <c r="U22" s="34">
        <v>526.29999999999995</v>
      </c>
      <c r="V22" s="35">
        <f t="shared" si="4"/>
        <v>0.99299999999999999</v>
      </c>
      <c r="W22" s="2"/>
      <c r="X22" s="2"/>
    </row>
    <row r="23" spans="1:26" ht="134.25" customHeight="1">
      <c r="A23" s="42"/>
      <c r="B23" s="44" t="s">
        <v>25</v>
      </c>
      <c r="C23" s="37">
        <v>813</v>
      </c>
      <c r="D23" s="38" t="s">
        <v>24</v>
      </c>
      <c r="E23" s="37" t="s">
        <v>217</v>
      </c>
      <c r="F23" s="29">
        <f t="shared" si="0"/>
        <v>10283.5</v>
      </c>
      <c r="G23" s="34">
        <v>9000</v>
      </c>
      <c r="H23" s="34"/>
      <c r="I23" s="34">
        <v>1283.5</v>
      </c>
      <c r="J23" s="28">
        <f t="shared" si="23"/>
        <v>10283.5</v>
      </c>
      <c r="K23" s="34">
        <f>3900+2700+2400</f>
        <v>9000</v>
      </c>
      <c r="L23" s="34"/>
      <c r="M23" s="34">
        <v>1283.5</v>
      </c>
      <c r="N23" s="28">
        <f t="shared" si="24"/>
        <v>9589</v>
      </c>
      <c r="O23" s="34">
        <v>9000</v>
      </c>
      <c r="P23" s="34"/>
      <c r="Q23" s="34">
        <v>589</v>
      </c>
      <c r="R23" s="28">
        <f t="shared" si="25"/>
        <v>9529</v>
      </c>
      <c r="S23" s="34">
        <v>9000</v>
      </c>
      <c r="T23" s="34"/>
      <c r="U23" s="34">
        <v>529</v>
      </c>
      <c r="V23" s="35">
        <f t="shared" si="4"/>
        <v>1</v>
      </c>
      <c r="W23" s="2"/>
      <c r="X23" s="2"/>
    </row>
    <row r="24" spans="1:26" ht="49.5">
      <c r="A24" s="42"/>
      <c r="B24" s="44" t="s">
        <v>26</v>
      </c>
      <c r="C24" s="37">
        <v>813</v>
      </c>
      <c r="D24" s="45" t="s">
        <v>24</v>
      </c>
      <c r="E24" s="37" t="s">
        <v>216</v>
      </c>
      <c r="F24" s="29">
        <f t="shared" si="0"/>
        <v>87626.7</v>
      </c>
      <c r="G24" s="34">
        <f>71646.9+3696.4</f>
        <v>75343.3</v>
      </c>
      <c r="H24" s="34"/>
      <c r="I24" s="34">
        <v>12283.4</v>
      </c>
      <c r="J24" s="28">
        <f t="shared" si="23"/>
        <v>63690</v>
      </c>
      <c r="K24" s="34">
        <f>17258.3+9957.3+5553.9+5553.9+5553.8+5553.8+5553.9</f>
        <v>54984.9</v>
      </c>
      <c r="L24" s="34"/>
      <c r="M24" s="34">
        <v>8705.1</v>
      </c>
      <c r="N24" s="28">
        <f t="shared" si="24"/>
        <v>82097.100000000006</v>
      </c>
      <c r="O24" s="34">
        <v>71646.899999999994</v>
      </c>
      <c r="P24" s="34"/>
      <c r="Q24" s="34">
        <v>10450.200000000001</v>
      </c>
      <c r="R24" s="28">
        <f t="shared" si="25"/>
        <v>82187.5</v>
      </c>
      <c r="S24" s="34">
        <v>71646.899999999994</v>
      </c>
      <c r="T24" s="34"/>
      <c r="U24" s="34">
        <v>10540.6</v>
      </c>
      <c r="V24" s="35">
        <f t="shared" si="4"/>
        <v>0.72699999999999998</v>
      </c>
      <c r="W24" s="2"/>
      <c r="X24" s="2"/>
    </row>
    <row r="25" spans="1:26" ht="87.75" customHeight="1">
      <c r="A25" s="42"/>
      <c r="B25" s="44" t="s">
        <v>160</v>
      </c>
      <c r="C25" s="37">
        <v>813</v>
      </c>
      <c r="D25" s="38" t="s">
        <v>24</v>
      </c>
      <c r="E25" s="37" t="s">
        <v>161</v>
      </c>
      <c r="F25" s="29">
        <f t="shared" si="0"/>
        <v>8039.5</v>
      </c>
      <c r="G25" s="34">
        <v>3000</v>
      </c>
      <c r="H25" s="34">
        <v>4815.6000000000004</v>
      </c>
      <c r="I25" s="34">
        <v>223.9</v>
      </c>
      <c r="J25" s="28">
        <f t="shared" si="23"/>
        <v>7988</v>
      </c>
      <c r="K25" s="34">
        <f>873.6+121.2+116.4+157.3+1712.3</f>
        <v>2980.8</v>
      </c>
      <c r="L25" s="34">
        <f>1402.4+194.5+186.8+252.5+2748.6</f>
        <v>4784.8</v>
      </c>
      <c r="M25" s="34">
        <v>222.4</v>
      </c>
      <c r="N25" s="28">
        <f t="shared" si="24"/>
        <v>8578.2000000000007</v>
      </c>
      <c r="O25" s="34">
        <v>3000</v>
      </c>
      <c r="P25" s="34">
        <v>5345.8</v>
      </c>
      <c r="Q25" s="34">
        <v>232.4</v>
      </c>
      <c r="R25" s="28">
        <f t="shared" si="25"/>
        <v>8574.5</v>
      </c>
      <c r="S25" s="34">
        <v>3000</v>
      </c>
      <c r="T25" s="34">
        <v>5345.8</v>
      </c>
      <c r="U25" s="34">
        <v>228.7</v>
      </c>
      <c r="V25" s="35">
        <f t="shared" si="4"/>
        <v>0.99399999999999999</v>
      </c>
      <c r="W25" s="2"/>
      <c r="X25" s="2"/>
    </row>
    <row r="26" spans="1:26" ht="75" customHeight="1">
      <c r="A26" s="42"/>
      <c r="B26" s="44" t="s">
        <v>162</v>
      </c>
      <c r="C26" s="37">
        <v>821</v>
      </c>
      <c r="D26" s="38" t="s">
        <v>19</v>
      </c>
      <c r="E26" s="37" t="s">
        <v>163</v>
      </c>
      <c r="F26" s="29">
        <f t="shared" si="0"/>
        <v>184159.1</v>
      </c>
      <c r="G26" s="34">
        <v>5478.5</v>
      </c>
      <c r="H26" s="34">
        <v>177137.6</v>
      </c>
      <c r="I26" s="34">
        <v>1543</v>
      </c>
      <c r="J26" s="28">
        <f t="shared" si="23"/>
        <v>9255.4</v>
      </c>
      <c r="K26" s="34">
        <v>275.7</v>
      </c>
      <c r="L26" s="34">
        <v>8914.2999999999993</v>
      </c>
      <c r="M26" s="34">
        <v>65.400000000000006</v>
      </c>
      <c r="N26" s="28">
        <f t="shared" si="24"/>
        <v>75536</v>
      </c>
      <c r="O26" s="34">
        <v>2253.5</v>
      </c>
      <c r="P26" s="34">
        <v>72862.399999999994</v>
      </c>
      <c r="Q26" s="34">
        <v>420.1</v>
      </c>
      <c r="R26" s="28">
        <f t="shared" si="25"/>
        <v>0</v>
      </c>
      <c r="S26" s="34"/>
      <c r="T26" s="34"/>
      <c r="U26" s="34">
        <v>0</v>
      </c>
      <c r="V26" s="35">
        <f t="shared" si="4"/>
        <v>0.05</v>
      </c>
      <c r="W26" s="2"/>
      <c r="X26" s="2"/>
    </row>
    <row r="27" spans="1:26" ht="65.25" customHeight="1">
      <c r="A27" s="42"/>
      <c r="B27" s="44" t="s">
        <v>165</v>
      </c>
      <c r="C27" s="37">
        <v>813</v>
      </c>
      <c r="D27" s="38" t="s">
        <v>24</v>
      </c>
      <c r="E27" s="37" t="s">
        <v>166</v>
      </c>
      <c r="F27" s="29">
        <f t="shared" si="0"/>
        <v>45127</v>
      </c>
      <c r="G27" s="34">
        <v>1329.9</v>
      </c>
      <c r="H27" s="34">
        <v>43000</v>
      </c>
      <c r="I27" s="34">
        <v>797.1</v>
      </c>
      <c r="J27" s="28">
        <f t="shared" si="23"/>
        <v>27489.1</v>
      </c>
      <c r="K27" s="34">
        <f>57.3+155+189.8+409.8</f>
        <v>811.9</v>
      </c>
      <c r="L27" s="34">
        <f>1853.5+5013+6135.4+13248.7</f>
        <v>26250.6</v>
      </c>
      <c r="M27" s="34">
        <v>426.6</v>
      </c>
      <c r="N27" s="28">
        <f t="shared" si="24"/>
        <v>18556.7</v>
      </c>
      <c r="O27" s="34">
        <v>556.70000000000005</v>
      </c>
      <c r="P27" s="34">
        <v>18000</v>
      </c>
      <c r="Q27" s="34"/>
      <c r="R27" s="28">
        <f t="shared" si="25"/>
        <v>18556.7</v>
      </c>
      <c r="S27" s="34">
        <v>556.70000000000005</v>
      </c>
      <c r="T27" s="34">
        <v>18000</v>
      </c>
      <c r="U27" s="34"/>
      <c r="V27" s="35">
        <f t="shared" si="4"/>
        <v>0.60899999999999999</v>
      </c>
      <c r="W27" s="2"/>
      <c r="X27" s="2"/>
    </row>
    <row r="28" spans="1:26" ht="42" customHeight="1">
      <c r="A28" s="12" t="s">
        <v>27</v>
      </c>
      <c r="B28" s="26" t="s">
        <v>318</v>
      </c>
      <c r="C28" s="40" t="s">
        <v>12</v>
      </c>
      <c r="D28" s="40" t="s">
        <v>12</v>
      </c>
      <c r="E28" s="40" t="s">
        <v>12</v>
      </c>
      <c r="F28" s="29">
        <f t="shared" si="0"/>
        <v>2116744.7999999998</v>
      </c>
      <c r="G28" s="29">
        <f>SUM(G30:G35)</f>
        <v>1249082.3999999999</v>
      </c>
      <c r="H28" s="29">
        <f>SUM(H30:H35)</f>
        <v>836293.5</v>
      </c>
      <c r="I28" s="29">
        <f>SUM(I30:I35)</f>
        <v>31368.9</v>
      </c>
      <c r="J28" s="28">
        <f t="shared" si="23"/>
        <v>990521.6</v>
      </c>
      <c r="K28" s="29">
        <f>SUM(K30:K35)</f>
        <v>507801</v>
      </c>
      <c r="L28" s="29">
        <f>SUM(L30:L35)</f>
        <v>452452.6</v>
      </c>
      <c r="M28" s="29">
        <f>SUM(M30:M35)</f>
        <v>30268</v>
      </c>
      <c r="N28" s="28">
        <f t="shared" si="24"/>
        <v>16787</v>
      </c>
      <c r="O28" s="29">
        <f>SUM(O30:O35)</f>
        <v>503.6</v>
      </c>
      <c r="P28" s="29">
        <f>SUM(P30:P35)</f>
        <v>16283.4</v>
      </c>
      <c r="Q28" s="29">
        <f>SUM(Q30:Q35)</f>
        <v>0</v>
      </c>
      <c r="R28" s="28">
        <f t="shared" si="25"/>
        <v>9202</v>
      </c>
      <c r="S28" s="29">
        <f>SUM(S30:S35)</f>
        <v>276.10000000000002</v>
      </c>
      <c r="T28" s="29">
        <f>SUM(T30:T35)</f>
        <v>8925.9</v>
      </c>
      <c r="U28" s="29">
        <f>SUM(U30:U35)</f>
        <v>0</v>
      </c>
      <c r="V28" s="30">
        <f t="shared" si="4"/>
        <v>0.46800000000000003</v>
      </c>
      <c r="W28" s="46" t="s">
        <v>351</v>
      </c>
      <c r="X28" s="2"/>
    </row>
    <row r="29" spans="1:26" ht="18.75">
      <c r="A29" s="25"/>
      <c r="B29" s="43" t="s">
        <v>15</v>
      </c>
      <c r="C29" s="33"/>
      <c r="D29" s="33"/>
      <c r="E29" s="33"/>
      <c r="F29" s="29"/>
      <c r="G29" s="29"/>
      <c r="H29" s="29"/>
      <c r="I29" s="29"/>
      <c r="J29" s="28"/>
      <c r="K29" s="29"/>
      <c r="L29" s="29"/>
      <c r="M29" s="29"/>
      <c r="N29" s="28"/>
      <c r="O29" s="29"/>
      <c r="P29" s="29"/>
      <c r="Q29" s="29"/>
      <c r="R29" s="28"/>
      <c r="S29" s="29"/>
      <c r="T29" s="29"/>
      <c r="U29" s="29"/>
      <c r="V29" s="30"/>
      <c r="W29" s="2"/>
      <c r="X29" s="2"/>
    </row>
    <row r="30" spans="1:26" ht="73.5" customHeight="1">
      <c r="A30" s="25"/>
      <c r="B30" s="47" t="s">
        <v>371</v>
      </c>
      <c r="C30" s="37">
        <v>815</v>
      </c>
      <c r="D30" s="38" t="s">
        <v>50</v>
      </c>
      <c r="E30" s="37" t="s">
        <v>258</v>
      </c>
      <c r="F30" s="29">
        <f t="shared" si="0"/>
        <v>82104.3</v>
      </c>
      <c r="G30" s="34">
        <f>9055+9699.4+53689.3</f>
        <v>72443.7</v>
      </c>
      <c r="H30" s="34"/>
      <c r="I30" s="63">
        <v>9660.6</v>
      </c>
      <c r="J30" s="28">
        <f t="shared" ref="J30:J36" si="26">K30+L30+M30</f>
        <v>9636.7000000000007</v>
      </c>
      <c r="K30" s="34"/>
      <c r="L30" s="34"/>
      <c r="M30" s="34">
        <v>9636.7000000000007</v>
      </c>
      <c r="N30" s="28">
        <f t="shared" ref="N30:N36" si="27">O30+P30+Q30</f>
        <v>0</v>
      </c>
      <c r="O30" s="34"/>
      <c r="P30" s="34"/>
      <c r="Q30" s="34"/>
      <c r="R30" s="28">
        <f t="shared" ref="R30:R36" si="28">S30+T30+U30</f>
        <v>0</v>
      </c>
      <c r="S30" s="34"/>
      <c r="T30" s="34"/>
      <c r="U30" s="34"/>
      <c r="V30" s="35">
        <f t="shared" si="4"/>
        <v>0.11700000000000001</v>
      </c>
      <c r="W30" s="2"/>
      <c r="X30" s="2"/>
    </row>
    <row r="31" spans="1:26" ht="60" customHeight="1">
      <c r="A31" s="25"/>
      <c r="B31" s="48" t="s">
        <v>336</v>
      </c>
      <c r="C31" s="37">
        <v>815</v>
      </c>
      <c r="D31" s="38" t="s">
        <v>50</v>
      </c>
      <c r="E31" s="37" t="s">
        <v>335</v>
      </c>
      <c r="F31" s="29">
        <f t="shared" ref="F31" si="29">G31+H31+I31</f>
        <v>19689.8</v>
      </c>
      <c r="G31" s="34"/>
      <c r="H31" s="34"/>
      <c r="I31" s="34">
        <v>19689.8</v>
      </c>
      <c r="J31" s="28">
        <f t="shared" ref="J31" si="30">K31+L31+M31</f>
        <v>19684.8</v>
      </c>
      <c r="K31" s="34"/>
      <c r="L31" s="34"/>
      <c r="M31" s="34">
        <v>19684.8</v>
      </c>
      <c r="N31" s="28">
        <f t="shared" ref="N31" si="31">O31+P31+Q31</f>
        <v>0</v>
      </c>
      <c r="O31" s="34"/>
      <c r="P31" s="34"/>
      <c r="Q31" s="34"/>
      <c r="R31" s="28">
        <f t="shared" ref="R31" si="32">S31+T31+U31</f>
        <v>0</v>
      </c>
      <c r="S31" s="34"/>
      <c r="T31" s="34"/>
      <c r="U31" s="34"/>
      <c r="V31" s="35"/>
      <c r="W31" s="2"/>
      <c r="X31" s="2"/>
    </row>
    <row r="32" spans="1:26" ht="160.5" customHeight="1">
      <c r="A32" s="25"/>
      <c r="B32" s="49" t="s">
        <v>181</v>
      </c>
      <c r="C32" s="37">
        <v>815</v>
      </c>
      <c r="D32" s="38" t="s">
        <v>50</v>
      </c>
      <c r="E32" s="37" t="s">
        <v>182</v>
      </c>
      <c r="F32" s="29">
        <f t="shared" si="0"/>
        <v>24680</v>
      </c>
      <c r="G32" s="34">
        <v>740.4</v>
      </c>
      <c r="H32" s="34">
        <v>23939.599999999999</v>
      </c>
      <c r="I32" s="34">
        <v>0</v>
      </c>
      <c r="J32" s="28">
        <f t="shared" si="26"/>
        <v>9848.2999999999993</v>
      </c>
      <c r="K32" s="34">
        <f>39+215.7+4.6+36.1</f>
        <v>295.39999999999998</v>
      </c>
      <c r="L32" s="34">
        <f>1261+6973.9+149.3+1168.7</f>
        <v>9552.9</v>
      </c>
      <c r="M32" s="34">
        <v>0</v>
      </c>
      <c r="N32" s="28">
        <f t="shared" si="27"/>
        <v>6787</v>
      </c>
      <c r="O32" s="34">
        <v>203.6</v>
      </c>
      <c r="P32" s="34">
        <v>6583.4</v>
      </c>
      <c r="Q32" s="34"/>
      <c r="R32" s="28">
        <f t="shared" si="28"/>
        <v>3702</v>
      </c>
      <c r="S32" s="34">
        <v>111.1</v>
      </c>
      <c r="T32" s="34">
        <v>3590.9</v>
      </c>
      <c r="U32" s="34"/>
      <c r="V32" s="35">
        <f t="shared" si="4"/>
        <v>0.39900000000000002</v>
      </c>
      <c r="W32" s="2"/>
      <c r="X32" s="2"/>
    </row>
    <row r="33" spans="1:24" ht="93" customHeight="1">
      <c r="A33" s="25"/>
      <c r="B33" s="44" t="s">
        <v>28</v>
      </c>
      <c r="C33" s="37">
        <v>821</v>
      </c>
      <c r="D33" s="38" t="s">
        <v>19</v>
      </c>
      <c r="E33" s="37" t="s">
        <v>180</v>
      </c>
      <c r="F33" s="29">
        <f t="shared" si="0"/>
        <v>1710333.4</v>
      </c>
      <c r="G33" s="34">
        <f>933102.8-27160.8</f>
        <v>905942</v>
      </c>
      <c r="H33" s="34">
        <v>802653.9</v>
      </c>
      <c r="I33" s="34">
        <v>1737.5</v>
      </c>
      <c r="J33" s="28">
        <f t="shared" si="26"/>
        <v>907935.2</v>
      </c>
      <c r="K33" s="34">
        <f>128949.3+36606.6+76063+68439.9+154265.7</f>
        <v>464324.5</v>
      </c>
      <c r="L33" s="34">
        <f>117299+32972.7+79391.3+65769.2+147270.5</f>
        <v>442702.7</v>
      </c>
      <c r="M33" s="34">
        <v>908</v>
      </c>
      <c r="N33" s="28">
        <f t="shared" si="27"/>
        <v>0</v>
      </c>
      <c r="O33" s="34"/>
      <c r="P33" s="34"/>
      <c r="Q33" s="34"/>
      <c r="R33" s="28">
        <f t="shared" si="28"/>
        <v>0</v>
      </c>
      <c r="S33" s="34"/>
      <c r="T33" s="34"/>
      <c r="U33" s="34"/>
      <c r="V33" s="35">
        <f t="shared" si="4"/>
        <v>0.53100000000000003</v>
      </c>
      <c r="W33" s="2"/>
      <c r="X33" s="2"/>
    </row>
    <row r="34" spans="1:24" ht="89.25" customHeight="1">
      <c r="A34" s="25"/>
      <c r="B34" s="44" t="s">
        <v>28</v>
      </c>
      <c r="C34" s="37">
        <v>821</v>
      </c>
      <c r="D34" s="38" t="s">
        <v>19</v>
      </c>
      <c r="E34" s="37" t="s">
        <v>325</v>
      </c>
      <c r="F34" s="29">
        <f t="shared" si="0"/>
        <v>269937.3</v>
      </c>
      <c r="G34" s="34">
        <f>280679.5-11023.2</f>
        <v>269656.3</v>
      </c>
      <c r="H34" s="34"/>
      <c r="I34" s="34">
        <v>281</v>
      </c>
      <c r="J34" s="28">
        <f t="shared" si="26"/>
        <v>43213.5</v>
      </c>
      <c r="K34" s="34">
        <f>1522.6+9522.2+2697.9+24742.8+4689.5</f>
        <v>43175</v>
      </c>
      <c r="L34" s="34"/>
      <c r="M34" s="34">
        <v>38.5</v>
      </c>
      <c r="N34" s="28">
        <f t="shared" si="27"/>
        <v>0</v>
      </c>
      <c r="O34" s="34"/>
      <c r="P34" s="34"/>
      <c r="Q34" s="34"/>
      <c r="R34" s="28">
        <f t="shared" si="28"/>
        <v>0</v>
      </c>
      <c r="S34" s="34"/>
      <c r="T34" s="34"/>
      <c r="U34" s="34"/>
      <c r="V34" s="35"/>
      <c r="W34" s="2"/>
      <c r="X34" s="2"/>
    </row>
    <row r="35" spans="1:24" ht="33">
      <c r="A35" s="25"/>
      <c r="B35" s="44" t="s">
        <v>143</v>
      </c>
      <c r="C35" s="37">
        <v>839</v>
      </c>
      <c r="D35" s="45" t="s">
        <v>16</v>
      </c>
      <c r="E35" s="37" t="s">
        <v>276</v>
      </c>
      <c r="F35" s="28">
        <f t="shared" si="0"/>
        <v>10000</v>
      </c>
      <c r="G35" s="34">
        <v>300</v>
      </c>
      <c r="H35" s="34">
        <v>9700</v>
      </c>
      <c r="I35" s="34"/>
      <c r="J35" s="28">
        <f t="shared" si="26"/>
        <v>203.1</v>
      </c>
      <c r="K35" s="34">
        <f>1.8+0.2+4.1</f>
        <v>6.1</v>
      </c>
      <c r="L35" s="34">
        <f>59.1+5.5+132.4</f>
        <v>197</v>
      </c>
      <c r="M35" s="34"/>
      <c r="N35" s="28">
        <f t="shared" si="27"/>
        <v>10000</v>
      </c>
      <c r="O35" s="34">
        <v>300</v>
      </c>
      <c r="P35" s="34">
        <v>9700</v>
      </c>
      <c r="Q35" s="34"/>
      <c r="R35" s="28">
        <f t="shared" si="28"/>
        <v>5500</v>
      </c>
      <c r="S35" s="34">
        <v>165</v>
      </c>
      <c r="T35" s="34">
        <v>5335</v>
      </c>
      <c r="U35" s="34"/>
      <c r="V35" s="35">
        <f t="shared" si="4"/>
        <v>0.02</v>
      </c>
      <c r="W35" s="2"/>
      <c r="X35" s="2"/>
    </row>
    <row r="36" spans="1:24" ht="33">
      <c r="A36" s="12" t="s">
        <v>29</v>
      </c>
      <c r="B36" s="26" t="s">
        <v>30</v>
      </c>
      <c r="C36" s="40" t="s">
        <v>12</v>
      </c>
      <c r="D36" s="40" t="s">
        <v>12</v>
      </c>
      <c r="E36" s="40" t="s">
        <v>12</v>
      </c>
      <c r="F36" s="29">
        <f t="shared" si="0"/>
        <v>1774696.8</v>
      </c>
      <c r="G36" s="29">
        <f>SUM(G38:G40)</f>
        <v>532407.19999999995</v>
      </c>
      <c r="H36" s="29">
        <f t="shared" ref="H36" si="33">SUM(H38:H40)</f>
        <v>1242289.6000000001</v>
      </c>
      <c r="I36" s="29">
        <f t="shared" ref="I36" si="34">SUM(I38:I40)</f>
        <v>0</v>
      </c>
      <c r="J36" s="28">
        <f t="shared" si="26"/>
        <v>1402450.1</v>
      </c>
      <c r="K36" s="29">
        <f t="shared" ref="K36:M36" si="35">SUM(K38:K40)</f>
        <v>346490</v>
      </c>
      <c r="L36" s="29">
        <f t="shared" si="35"/>
        <v>1055960.1000000001</v>
      </c>
      <c r="M36" s="29">
        <f t="shared" si="35"/>
        <v>0</v>
      </c>
      <c r="N36" s="28">
        <f t="shared" si="27"/>
        <v>2035919.6</v>
      </c>
      <c r="O36" s="29">
        <f t="shared" ref="O36:T36" si="36">SUM(O38:O40)</f>
        <v>295666.5</v>
      </c>
      <c r="P36" s="29">
        <f t="shared" si="36"/>
        <v>1740253.1</v>
      </c>
      <c r="Q36" s="29">
        <f t="shared" si="36"/>
        <v>0</v>
      </c>
      <c r="R36" s="28">
        <f t="shared" si="28"/>
        <v>1844687.5</v>
      </c>
      <c r="S36" s="29">
        <f t="shared" si="36"/>
        <v>103881.2</v>
      </c>
      <c r="T36" s="29">
        <f t="shared" si="36"/>
        <v>1740806.3</v>
      </c>
      <c r="U36" s="29">
        <f t="shared" ref="U36" si="37">SUM(U38:U40)</f>
        <v>0</v>
      </c>
      <c r="V36" s="30">
        <f t="shared" si="4"/>
        <v>0.79</v>
      </c>
      <c r="W36" s="50" t="s">
        <v>352</v>
      </c>
      <c r="X36" s="2"/>
    </row>
    <row r="37" spans="1:24" ht="18.75">
      <c r="A37" s="25"/>
      <c r="B37" s="43" t="s">
        <v>15</v>
      </c>
      <c r="C37" s="33"/>
      <c r="D37" s="45"/>
      <c r="E37" s="33"/>
      <c r="F37" s="29"/>
      <c r="G37" s="29"/>
      <c r="H37" s="29"/>
      <c r="I37" s="29"/>
      <c r="J37" s="28"/>
      <c r="K37" s="29"/>
      <c r="L37" s="29"/>
      <c r="M37" s="29"/>
      <c r="N37" s="28"/>
      <c r="O37" s="29"/>
      <c r="P37" s="29"/>
      <c r="Q37" s="29"/>
      <c r="R37" s="28"/>
      <c r="S37" s="29"/>
      <c r="T37" s="29"/>
      <c r="U37" s="29"/>
      <c r="V37" s="30"/>
      <c r="W37" s="2"/>
      <c r="X37" s="2"/>
    </row>
    <row r="38" spans="1:24" ht="40.5" customHeight="1">
      <c r="A38" s="25"/>
      <c r="B38" s="44" t="s">
        <v>31</v>
      </c>
      <c r="C38" s="37">
        <v>809</v>
      </c>
      <c r="D38" s="38" t="s">
        <v>20</v>
      </c>
      <c r="E38" s="37" t="s">
        <v>191</v>
      </c>
      <c r="F38" s="29">
        <f t="shared" si="0"/>
        <v>1025023.9</v>
      </c>
      <c r="G38" s="34"/>
      <c r="H38" s="34">
        <v>1025023.9</v>
      </c>
      <c r="I38" s="34"/>
      <c r="J38" s="28">
        <f t="shared" ref="J38:J40" si="38">K38+L38+M38</f>
        <v>857644.1</v>
      </c>
      <c r="K38" s="34"/>
      <c r="L38" s="34">
        <f>482092.8+96529.7+94402.4+92164.1+92455.1</f>
        <v>857644.1</v>
      </c>
      <c r="M38" s="34"/>
      <c r="N38" s="28">
        <f t="shared" ref="N38:N40" si="39">O38+P38+Q38</f>
        <v>1036285.9</v>
      </c>
      <c r="O38" s="34"/>
      <c r="P38" s="34">
        <v>1036285.9</v>
      </c>
      <c r="Q38" s="34"/>
      <c r="R38" s="28">
        <f t="shared" ref="R38:R40" si="40">S38+T38+U38</f>
        <v>1045601.6</v>
      </c>
      <c r="S38" s="34"/>
      <c r="T38" s="34">
        <v>1045601.6</v>
      </c>
      <c r="U38" s="34"/>
      <c r="V38" s="35">
        <f t="shared" si="4"/>
        <v>0.83699999999999997</v>
      </c>
      <c r="W38" s="2"/>
      <c r="X38" s="2"/>
    </row>
    <row r="39" spans="1:24" ht="87" customHeight="1">
      <c r="A39" s="25"/>
      <c r="B39" s="44" t="s">
        <v>294</v>
      </c>
      <c r="C39" s="37">
        <v>809</v>
      </c>
      <c r="D39" s="38" t="s">
        <v>20</v>
      </c>
      <c r="E39" s="37" t="s">
        <v>212</v>
      </c>
      <c r="F39" s="29">
        <f t="shared" si="0"/>
        <v>487907</v>
      </c>
      <c r="G39" s="34">
        <v>487907</v>
      </c>
      <c r="H39" s="34"/>
      <c r="I39" s="34"/>
      <c r="J39" s="28">
        <f t="shared" si="38"/>
        <v>305871.09999999998</v>
      </c>
      <c r="K39" s="34">
        <f>187267.3+34723.6+33717.5+28792.4+21370.3</f>
        <v>305871.09999999998</v>
      </c>
      <c r="L39" s="34"/>
      <c r="M39" s="34"/>
      <c r="N39" s="28">
        <f t="shared" si="39"/>
        <v>190476</v>
      </c>
      <c r="O39" s="34">
        <v>190476</v>
      </c>
      <c r="P39" s="34"/>
      <c r="Q39" s="34"/>
      <c r="R39" s="28">
        <f t="shared" si="40"/>
        <v>0</v>
      </c>
      <c r="S39" s="34"/>
      <c r="T39" s="34"/>
      <c r="U39" s="34"/>
      <c r="V39" s="35">
        <f t="shared" si="4"/>
        <v>0.627</v>
      </c>
      <c r="W39" s="2"/>
      <c r="X39" s="2"/>
    </row>
    <row r="40" spans="1:24" ht="72" customHeight="1">
      <c r="A40" s="25"/>
      <c r="B40" s="44" t="s">
        <v>32</v>
      </c>
      <c r="C40" s="37">
        <v>809</v>
      </c>
      <c r="D40" s="38" t="s">
        <v>20</v>
      </c>
      <c r="E40" s="37" t="s">
        <v>190</v>
      </c>
      <c r="F40" s="29">
        <f t="shared" si="0"/>
        <v>261765.9</v>
      </c>
      <c r="G40" s="34">
        <v>44500.2</v>
      </c>
      <c r="H40" s="34">
        <v>217265.7</v>
      </c>
      <c r="I40" s="34"/>
      <c r="J40" s="28">
        <f t="shared" si="38"/>
        <v>238934.9</v>
      </c>
      <c r="K40" s="34">
        <f>20262.7+4802+4772.7+5301.3+5480.2</f>
        <v>40618.9</v>
      </c>
      <c r="L40" s="34">
        <f>98929.6+23445+23302+25883+26756.4</f>
        <v>198316</v>
      </c>
      <c r="M40" s="34"/>
      <c r="N40" s="28">
        <f t="shared" si="39"/>
        <v>809157.7</v>
      </c>
      <c r="O40" s="34">
        <v>105190.5</v>
      </c>
      <c r="P40" s="34">
        <v>703967.2</v>
      </c>
      <c r="Q40" s="34"/>
      <c r="R40" s="28">
        <f t="shared" si="40"/>
        <v>799085.9</v>
      </c>
      <c r="S40" s="34">
        <v>103881.2</v>
      </c>
      <c r="T40" s="34">
        <v>695204.7</v>
      </c>
      <c r="U40" s="34"/>
      <c r="V40" s="35">
        <f t="shared" si="4"/>
        <v>0.91300000000000003</v>
      </c>
      <c r="W40" s="2"/>
      <c r="X40" s="2"/>
    </row>
    <row r="41" spans="1:24" ht="24" customHeight="1">
      <c r="A41" s="22" t="s">
        <v>33</v>
      </c>
      <c r="B41" s="51" t="s">
        <v>34</v>
      </c>
      <c r="C41" s="52" t="s">
        <v>12</v>
      </c>
      <c r="D41" s="52" t="s">
        <v>12</v>
      </c>
      <c r="E41" s="52" t="s">
        <v>12</v>
      </c>
      <c r="F41" s="53">
        <f t="shared" si="0"/>
        <v>4044006.3</v>
      </c>
      <c r="G41" s="53">
        <f>G42+G47+G51+G54</f>
        <v>911977</v>
      </c>
      <c r="H41" s="53">
        <f>H42+H47+H51+H54</f>
        <v>3132029.3</v>
      </c>
      <c r="I41" s="53">
        <f>I42+I47+I51+I54</f>
        <v>0</v>
      </c>
      <c r="J41" s="53">
        <f t="shared" ref="J41:J42" si="41">K41+L41+M41</f>
        <v>651544.9</v>
      </c>
      <c r="K41" s="53">
        <f>K42+K47+K51+K54</f>
        <v>224227.5</v>
      </c>
      <c r="L41" s="53">
        <f>L42+L47+L51+L54</f>
        <v>427317.4</v>
      </c>
      <c r="M41" s="53">
        <f>M42+M47+M51+M54</f>
        <v>0</v>
      </c>
      <c r="N41" s="53">
        <f t="shared" ref="N41:N42" si="42">O41+P41+Q41</f>
        <v>624926.4</v>
      </c>
      <c r="O41" s="53">
        <f>O42+O47+O51+O54</f>
        <v>145833.79999999999</v>
      </c>
      <c r="P41" s="53">
        <f>P42+P47+P51+P54</f>
        <v>479092.6</v>
      </c>
      <c r="Q41" s="53">
        <f>Q42+Q47+Q51+Q54</f>
        <v>0</v>
      </c>
      <c r="R41" s="53">
        <f t="shared" ref="R41:R42" si="43">S41+T41+U41</f>
        <v>417127</v>
      </c>
      <c r="S41" s="53">
        <f>S42+S47+S51+S54</f>
        <v>158561.29999999999</v>
      </c>
      <c r="T41" s="53">
        <f>T42+T47+T51+T54</f>
        <v>258565.7</v>
      </c>
      <c r="U41" s="53">
        <f>U42+U47+U51+U54</f>
        <v>0</v>
      </c>
      <c r="V41" s="54">
        <f t="shared" si="4"/>
        <v>0.161</v>
      </c>
      <c r="W41" s="2"/>
      <c r="X41" s="2"/>
    </row>
    <row r="42" spans="1:24" ht="57" customHeight="1">
      <c r="A42" s="25" t="s">
        <v>35</v>
      </c>
      <c r="B42" s="55" t="s">
        <v>36</v>
      </c>
      <c r="C42" s="27" t="s">
        <v>12</v>
      </c>
      <c r="D42" s="27" t="s">
        <v>12</v>
      </c>
      <c r="E42" s="27" t="s">
        <v>12</v>
      </c>
      <c r="F42" s="29">
        <f t="shared" si="0"/>
        <v>430709.5</v>
      </c>
      <c r="G42" s="29">
        <f>SUM(G44:G46)</f>
        <v>266963</v>
      </c>
      <c r="H42" s="29">
        <f>SUM(H44:H46)</f>
        <v>163746.5</v>
      </c>
      <c r="I42" s="29">
        <f>SUM(I44:I46)</f>
        <v>0</v>
      </c>
      <c r="J42" s="29">
        <f t="shared" si="41"/>
        <v>315820.3</v>
      </c>
      <c r="K42" s="29">
        <f>SUM(K44:K46)</f>
        <v>186963</v>
      </c>
      <c r="L42" s="29">
        <f>SUM(L44:L46)</f>
        <v>128857.3</v>
      </c>
      <c r="M42" s="29">
        <f>SUM(M44:M46)</f>
        <v>0</v>
      </c>
      <c r="N42" s="29">
        <f t="shared" si="42"/>
        <v>226690.3</v>
      </c>
      <c r="O42" s="29">
        <f>SUM(O44:O46)</f>
        <v>126625.1</v>
      </c>
      <c r="P42" s="29">
        <f>SUM(P44:P46)</f>
        <v>100065.2</v>
      </c>
      <c r="Q42" s="29">
        <f>SUM(Q44:Q46)</f>
        <v>0</v>
      </c>
      <c r="R42" s="29">
        <f t="shared" si="43"/>
        <v>226690.3</v>
      </c>
      <c r="S42" s="29">
        <f>SUM(S44:S46)</f>
        <v>139352.6</v>
      </c>
      <c r="T42" s="29">
        <f>SUM(T44:T46)</f>
        <v>87337.7</v>
      </c>
      <c r="U42" s="29">
        <f>SUM(U44:U46)</f>
        <v>0</v>
      </c>
      <c r="V42" s="41">
        <f t="shared" si="4"/>
        <v>0.73299999999999998</v>
      </c>
      <c r="W42" s="50" t="s">
        <v>353</v>
      </c>
      <c r="X42" s="2"/>
    </row>
    <row r="43" spans="1:24" ht="24" customHeight="1">
      <c r="A43" s="42"/>
      <c r="B43" s="43" t="s">
        <v>15</v>
      </c>
      <c r="C43" s="33"/>
      <c r="D43" s="33"/>
      <c r="E43" s="33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41"/>
      <c r="W43" s="2"/>
      <c r="X43" s="2"/>
    </row>
    <row r="44" spans="1:24" ht="36.75" customHeight="1">
      <c r="A44" s="42"/>
      <c r="B44" s="44" t="s">
        <v>37</v>
      </c>
      <c r="C44" s="37">
        <v>811</v>
      </c>
      <c r="D44" s="38" t="s">
        <v>17</v>
      </c>
      <c r="E44" s="37" t="s">
        <v>213</v>
      </c>
      <c r="F44" s="28">
        <f t="shared" si="0"/>
        <v>180390.3</v>
      </c>
      <c r="G44" s="34">
        <f>40390.3+140000</f>
        <v>180390.3</v>
      </c>
      <c r="H44" s="34"/>
      <c r="I44" s="34"/>
      <c r="J44" s="28">
        <f t="shared" ref="J44:J47" si="44">K44+L44+M44</f>
        <v>100390.3</v>
      </c>
      <c r="K44" s="34">
        <f>40390.3+60000</f>
        <v>100390.3</v>
      </c>
      <c r="L44" s="34"/>
      <c r="M44" s="34"/>
      <c r="N44" s="28">
        <f t="shared" ref="N44:N47" si="45">O44+P44+Q44</f>
        <v>28690.3</v>
      </c>
      <c r="O44" s="34">
        <v>28690.3</v>
      </c>
      <c r="P44" s="34"/>
      <c r="Q44" s="34"/>
      <c r="R44" s="28">
        <f t="shared" ref="R44:R47" si="46">S44+T44+U44</f>
        <v>28690.3</v>
      </c>
      <c r="S44" s="34">
        <v>28690.3</v>
      </c>
      <c r="T44" s="34"/>
      <c r="U44" s="34"/>
      <c r="V44" s="35">
        <f t="shared" si="4"/>
        <v>0.55700000000000005</v>
      </c>
      <c r="W44" s="2"/>
      <c r="X44" s="2"/>
    </row>
    <row r="45" spans="1:24" ht="42.75" customHeight="1">
      <c r="A45" s="42"/>
      <c r="B45" s="44" t="s">
        <v>310</v>
      </c>
      <c r="C45" s="37">
        <v>811</v>
      </c>
      <c r="D45" s="38" t="s">
        <v>17</v>
      </c>
      <c r="E45" s="37" t="s">
        <v>152</v>
      </c>
      <c r="F45" s="28">
        <f t="shared" si="0"/>
        <v>178000</v>
      </c>
      <c r="G45" s="34">
        <v>86572.7</v>
      </c>
      <c r="H45" s="34">
        <v>91427.3</v>
      </c>
      <c r="I45" s="34"/>
      <c r="J45" s="28">
        <f t="shared" si="44"/>
        <v>178000</v>
      </c>
      <c r="K45" s="34">
        <f>48636.3+24318.2+13618.2</f>
        <v>86572.7</v>
      </c>
      <c r="L45" s="34">
        <f>77045.5+14381.8</f>
        <v>91427.3</v>
      </c>
      <c r="M45" s="34"/>
      <c r="N45" s="28">
        <f t="shared" si="45"/>
        <v>198000</v>
      </c>
      <c r="O45" s="34">
        <v>97934.8</v>
      </c>
      <c r="P45" s="34">
        <v>100065.2</v>
      </c>
      <c r="Q45" s="34"/>
      <c r="R45" s="28">
        <f t="shared" si="46"/>
        <v>198000</v>
      </c>
      <c r="S45" s="34">
        <v>110662.3</v>
      </c>
      <c r="T45" s="34">
        <v>87337.7</v>
      </c>
      <c r="U45" s="34"/>
      <c r="V45" s="35">
        <f t="shared" si="4"/>
        <v>1</v>
      </c>
      <c r="W45" s="2"/>
      <c r="X45" s="2"/>
    </row>
    <row r="46" spans="1:24" ht="80.25" customHeight="1">
      <c r="A46" s="42"/>
      <c r="B46" s="56" t="s">
        <v>150</v>
      </c>
      <c r="C46" s="37">
        <v>811</v>
      </c>
      <c r="D46" s="38" t="s">
        <v>17</v>
      </c>
      <c r="E46" s="37" t="s">
        <v>151</v>
      </c>
      <c r="F46" s="28">
        <f t="shared" ref="F46:F95" si="47">G46+H46+I46</f>
        <v>72319.199999999997</v>
      </c>
      <c r="G46" s="34"/>
      <c r="H46" s="34">
        <v>72319.199999999997</v>
      </c>
      <c r="I46" s="34"/>
      <c r="J46" s="28">
        <f t="shared" si="44"/>
        <v>37430</v>
      </c>
      <c r="K46" s="34"/>
      <c r="L46" s="34">
        <f>6700+30730</f>
        <v>37430</v>
      </c>
      <c r="M46" s="34"/>
      <c r="N46" s="28">
        <f t="shared" si="45"/>
        <v>0</v>
      </c>
      <c r="O46" s="34"/>
      <c r="P46" s="34"/>
      <c r="Q46" s="34"/>
      <c r="R46" s="28">
        <f t="shared" si="46"/>
        <v>0</v>
      </c>
      <c r="S46" s="34"/>
      <c r="T46" s="34"/>
      <c r="U46" s="34"/>
      <c r="V46" s="35">
        <f t="shared" ref="V46:V95" si="48">J46/F46</f>
        <v>0.51800000000000002</v>
      </c>
      <c r="W46" s="2"/>
      <c r="X46" s="2"/>
    </row>
    <row r="47" spans="1:24" ht="33">
      <c r="A47" s="25" t="s">
        <v>38</v>
      </c>
      <c r="B47" s="57" t="s">
        <v>39</v>
      </c>
      <c r="C47" s="27" t="s">
        <v>12</v>
      </c>
      <c r="D47" s="27" t="s">
        <v>12</v>
      </c>
      <c r="E47" s="27" t="s">
        <v>12</v>
      </c>
      <c r="F47" s="28">
        <f t="shared" si="47"/>
        <v>120753.5</v>
      </c>
      <c r="G47" s="29">
        <f>SUM(G49:G50)</f>
        <v>1418.7</v>
      </c>
      <c r="H47" s="29">
        <f>SUM(H49:H50)</f>
        <v>119334.8</v>
      </c>
      <c r="I47" s="29">
        <f>SUM(I49:I50)</f>
        <v>0</v>
      </c>
      <c r="J47" s="28">
        <f t="shared" si="44"/>
        <v>31905.599999999999</v>
      </c>
      <c r="K47" s="29">
        <f>SUM(K49:K50)</f>
        <v>331.8</v>
      </c>
      <c r="L47" s="29">
        <f>SUM(L49:L50)</f>
        <v>31573.8</v>
      </c>
      <c r="M47" s="29">
        <f>SUM(M49:M50)</f>
        <v>0</v>
      </c>
      <c r="N47" s="28">
        <f t="shared" si="45"/>
        <v>165592.4</v>
      </c>
      <c r="O47" s="29">
        <f>SUM(O49:O50)</f>
        <v>1418.7</v>
      </c>
      <c r="P47" s="29">
        <f>SUM(P49:P50)</f>
        <v>164173.70000000001</v>
      </c>
      <c r="Q47" s="29">
        <f>SUM(Q49:Q50)</f>
        <v>0</v>
      </c>
      <c r="R47" s="28">
        <f t="shared" si="46"/>
        <v>111539.7</v>
      </c>
      <c r="S47" s="29">
        <f>SUM(S49:S50)</f>
        <v>1418.7</v>
      </c>
      <c r="T47" s="29">
        <f>SUM(T49:T50)</f>
        <v>110121</v>
      </c>
      <c r="U47" s="29">
        <f>SUM(U49:U50)</f>
        <v>0</v>
      </c>
      <c r="V47" s="30">
        <f t="shared" si="48"/>
        <v>0.26400000000000001</v>
      </c>
      <c r="W47" s="50" t="s">
        <v>353</v>
      </c>
      <c r="X47" s="2"/>
    </row>
    <row r="48" spans="1:24" ht="18.75">
      <c r="A48" s="42"/>
      <c r="B48" s="43" t="s">
        <v>15</v>
      </c>
      <c r="C48" s="33"/>
      <c r="D48" s="33"/>
      <c r="E48" s="33"/>
      <c r="F48" s="28"/>
      <c r="G48" s="29"/>
      <c r="H48" s="29"/>
      <c r="I48" s="29"/>
      <c r="J48" s="28"/>
      <c r="K48" s="29"/>
      <c r="L48" s="29"/>
      <c r="M48" s="29"/>
      <c r="N48" s="28"/>
      <c r="O48" s="29"/>
      <c r="P48" s="29"/>
      <c r="Q48" s="29"/>
      <c r="R48" s="28"/>
      <c r="S48" s="29"/>
      <c r="T48" s="29"/>
      <c r="U48" s="29"/>
      <c r="V48" s="30"/>
      <c r="W48" s="2"/>
      <c r="X48" s="2"/>
    </row>
    <row r="49" spans="1:103" s="65" customFormat="1" ht="51" customHeight="1">
      <c r="A49" s="58"/>
      <c r="B49" s="59" t="s">
        <v>40</v>
      </c>
      <c r="C49" s="60">
        <v>811</v>
      </c>
      <c r="D49" s="61" t="s">
        <v>17</v>
      </c>
      <c r="E49" s="60" t="s">
        <v>153</v>
      </c>
      <c r="F49" s="62">
        <f t="shared" si="47"/>
        <v>73465.899999999994</v>
      </c>
      <c r="G49" s="63"/>
      <c r="H49" s="63">
        <v>73465.899999999994</v>
      </c>
      <c r="I49" s="63"/>
      <c r="J49" s="62">
        <f t="shared" ref="J49:J50" si="49">K49+L49+M49</f>
        <v>20846.2</v>
      </c>
      <c r="K49" s="63"/>
      <c r="L49" s="63">
        <f>385.3+5000+778+14682.9</f>
        <v>20846.2</v>
      </c>
      <c r="M49" s="63"/>
      <c r="N49" s="28">
        <f t="shared" ref="N49:N50" si="50">O49+P49+Q49</f>
        <v>118304.8</v>
      </c>
      <c r="O49" s="63"/>
      <c r="P49" s="63">
        <v>118304.8</v>
      </c>
      <c r="Q49" s="63"/>
      <c r="R49" s="28">
        <f t="shared" ref="R49:R50" si="51">S49+T49+U49</f>
        <v>64252.1</v>
      </c>
      <c r="S49" s="63"/>
      <c r="T49" s="63">
        <v>64252.1</v>
      </c>
      <c r="U49" s="63"/>
      <c r="V49" s="64">
        <f t="shared" si="48"/>
        <v>0.28399999999999997</v>
      </c>
      <c r="W49" s="2"/>
      <c r="X49" s="2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</row>
    <row r="50" spans="1:103" s="65" customFormat="1" ht="75.75" customHeight="1">
      <c r="A50" s="58"/>
      <c r="B50" s="59" t="s">
        <v>155</v>
      </c>
      <c r="C50" s="60">
        <v>811</v>
      </c>
      <c r="D50" s="61" t="s">
        <v>17</v>
      </c>
      <c r="E50" s="60" t="s">
        <v>154</v>
      </c>
      <c r="F50" s="62">
        <f t="shared" si="47"/>
        <v>47287.6</v>
      </c>
      <c r="G50" s="63">
        <v>1418.7</v>
      </c>
      <c r="H50" s="63">
        <v>45868.9</v>
      </c>
      <c r="I50" s="63"/>
      <c r="J50" s="62">
        <f t="shared" si="49"/>
        <v>11059.4</v>
      </c>
      <c r="K50" s="63">
        <f>2.1+137.5+4.9+187.3</f>
        <v>331.8</v>
      </c>
      <c r="L50" s="63">
        <f>69.1+4446.9+155+6056.6</f>
        <v>10727.6</v>
      </c>
      <c r="M50" s="63"/>
      <c r="N50" s="28">
        <f t="shared" si="50"/>
        <v>47287.6</v>
      </c>
      <c r="O50" s="63">
        <v>1418.7</v>
      </c>
      <c r="P50" s="63">
        <v>45868.9</v>
      </c>
      <c r="Q50" s="63"/>
      <c r="R50" s="28">
        <f t="shared" si="51"/>
        <v>47287.6</v>
      </c>
      <c r="S50" s="63">
        <v>1418.7</v>
      </c>
      <c r="T50" s="63">
        <v>45868.9</v>
      </c>
      <c r="U50" s="63"/>
      <c r="V50" s="64">
        <f t="shared" si="48"/>
        <v>0.23400000000000001</v>
      </c>
      <c r="W50" s="2"/>
      <c r="X50" s="2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</row>
    <row r="51" spans="1:103" s="9" customFormat="1" ht="68.25" customHeight="1">
      <c r="A51" s="25" t="s">
        <v>41</v>
      </c>
      <c r="B51" s="55" t="s">
        <v>43</v>
      </c>
      <c r="C51" s="27" t="s">
        <v>12</v>
      </c>
      <c r="D51" s="27" t="s">
        <v>12</v>
      </c>
      <c r="E51" s="27" t="s">
        <v>12</v>
      </c>
      <c r="F51" s="28">
        <f t="shared" si="47"/>
        <v>198424.6</v>
      </c>
      <c r="G51" s="29">
        <f>SUM(G53:G53)</f>
        <v>21619.1</v>
      </c>
      <c r="H51" s="29">
        <f>SUM(H53:H53)</f>
        <v>176805.5</v>
      </c>
      <c r="I51" s="29">
        <f>SUM(I53:I53)</f>
        <v>0</v>
      </c>
      <c r="J51" s="28">
        <f t="shared" ref="J51" si="52">K51+L51+M51</f>
        <v>94426.6</v>
      </c>
      <c r="K51" s="29">
        <f>SUM(K53:K53)</f>
        <v>10288.1</v>
      </c>
      <c r="L51" s="29">
        <f>SUM(L53:L53)</f>
        <v>84138.5</v>
      </c>
      <c r="M51" s="29">
        <f>SUM(M53:M53)</f>
        <v>0</v>
      </c>
      <c r="N51" s="28">
        <f t="shared" ref="N51" si="53">O51+P51+Q51</f>
        <v>29782.5</v>
      </c>
      <c r="O51" s="29">
        <f>SUM(O53:O53)</f>
        <v>17790</v>
      </c>
      <c r="P51" s="29">
        <f>SUM(P53:P53)</f>
        <v>11992.5</v>
      </c>
      <c r="Q51" s="29">
        <f>SUM(Q53:Q53)</f>
        <v>0</v>
      </c>
      <c r="R51" s="28">
        <f t="shared" ref="R51" si="54">S51+T51+U51</f>
        <v>26148.3</v>
      </c>
      <c r="S51" s="29">
        <f>SUM(S53:S53)</f>
        <v>17790</v>
      </c>
      <c r="T51" s="29">
        <f>SUM(T53:T53)</f>
        <v>8358.2999999999993</v>
      </c>
      <c r="U51" s="29">
        <f>SUM(U53:U53)</f>
        <v>0</v>
      </c>
      <c r="V51" s="30">
        <f t="shared" si="48"/>
        <v>0.47599999999999998</v>
      </c>
      <c r="W51" s="50" t="s">
        <v>353</v>
      </c>
      <c r="X51" s="2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</row>
    <row r="52" spans="1:103" ht="18.75">
      <c r="A52" s="42"/>
      <c r="B52" s="43" t="s">
        <v>15</v>
      </c>
      <c r="C52" s="33"/>
      <c r="D52" s="33"/>
      <c r="E52" s="33"/>
      <c r="F52" s="28"/>
      <c r="G52" s="29"/>
      <c r="H52" s="29"/>
      <c r="I52" s="29"/>
      <c r="J52" s="28"/>
      <c r="K52" s="29"/>
      <c r="L52" s="29"/>
      <c r="M52" s="29"/>
      <c r="N52" s="28"/>
      <c r="O52" s="29"/>
      <c r="P52" s="29"/>
      <c r="Q52" s="29"/>
      <c r="R52" s="28"/>
      <c r="S52" s="29"/>
      <c r="T52" s="29"/>
      <c r="U52" s="29"/>
      <c r="V52" s="30"/>
      <c r="W52" s="2"/>
      <c r="X52" s="2"/>
    </row>
    <row r="53" spans="1:103" ht="73.5" customHeight="1">
      <c r="A53" s="42"/>
      <c r="B53" s="44" t="s">
        <v>44</v>
      </c>
      <c r="C53" s="37">
        <v>811</v>
      </c>
      <c r="D53" s="38" t="s">
        <v>17</v>
      </c>
      <c r="E53" s="37" t="s">
        <v>159</v>
      </c>
      <c r="F53" s="28">
        <f t="shared" si="47"/>
        <v>198424.6</v>
      </c>
      <c r="G53" s="34">
        <f>17790+3829.1</f>
        <v>21619.1</v>
      </c>
      <c r="H53" s="34">
        <f>95494.6+81310.9</f>
        <v>176805.5</v>
      </c>
      <c r="I53" s="34"/>
      <c r="J53" s="28">
        <f t="shared" ref="J53:J54" si="55">K53+L53+M53</f>
        <v>94426.6</v>
      </c>
      <c r="K53" s="34">
        <v>10288.1</v>
      </c>
      <c r="L53" s="34">
        <v>84138.5</v>
      </c>
      <c r="M53" s="34"/>
      <c r="N53" s="28">
        <f t="shared" ref="N53:N54" si="56">O53+P53+Q53</f>
        <v>29782.5</v>
      </c>
      <c r="O53" s="34">
        <v>17790</v>
      </c>
      <c r="P53" s="34">
        <v>11992.5</v>
      </c>
      <c r="Q53" s="34"/>
      <c r="R53" s="28">
        <f t="shared" ref="R53:R54" si="57">S53+T53+U53</f>
        <v>26148.3</v>
      </c>
      <c r="S53" s="34">
        <v>17790</v>
      </c>
      <c r="T53" s="34">
        <v>8358.2999999999993</v>
      </c>
      <c r="U53" s="34"/>
      <c r="V53" s="35">
        <f t="shared" si="48"/>
        <v>0.47599999999999998</v>
      </c>
      <c r="W53" s="2"/>
      <c r="X53" s="2"/>
    </row>
    <row r="54" spans="1:103" s="9" customFormat="1" ht="38.25" customHeight="1">
      <c r="A54" s="66" t="s">
        <v>42</v>
      </c>
      <c r="B54" s="57" t="s">
        <v>45</v>
      </c>
      <c r="C54" s="27" t="s">
        <v>12</v>
      </c>
      <c r="D54" s="27" t="s">
        <v>12</v>
      </c>
      <c r="E54" s="27" t="s">
        <v>12</v>
      </c>
      <c r="F54" s="28">
        <f t="shared" si="47"/>
        <v>3294118.7</v>
      </c>
      <c r="G54" s="29">
        <f t="shared" ref="G54:H54" si="58">SUM(G56:G58)</f>
        <v>621976.19999999995</v>
      </c>
      <c r="H54" s="29">
        <f t="shared" si="58"/>
        <v>2672142.5</v>
      </c>
      <c r="I54" s="29">
        <f t="shared" ref="I54" si="59">SUM(I56:I58)</f>
        <v>0</v>
      </c>
      <c r="J54" s="28">
        <f t="shared" si="55"/>
        <v>209392.4</v>
      </c>
      <c r="K54" s="29">
        <f t="shared" ref="K54:M54" si="60">SUM(K56:K58)</f>
        <v>26644.6</v>
      </c>
      <c r="L54" s="29">
        <f t="shared" si="60"/>
        <v>182747.8</v>
      </c>
      <c r="M54" s="29">
        <f t="shared" si="60"/>
        <v>0</v>
      </c>
      <c r="N54" s="28">
        <f t="shared" si="56"/>
        <v>202861.2</v>
      </c>
      <c r="O54" s="29">
        <f t="shared" ref="O54:T54" si="61">SUM(O56:O58)</f>
        <v>0</v>
      </c>
      <c r="P54" s="29">
        <f t="shared" si="61"/>
        <v>202861.2</v>
      </c>
      <c r="Q54" s="29">
        <f t="shared" si="61"/>
        <v>0</v>
      </c>
      <c r="R54" s="28">
        <f t="shared" si="57"/>
        <v>52748.7</v>
      </c>
      <c r="S54" s="29">
        <f t="shared" si="61"/>
        <v>0</v>
      </c>
      <c r="T54" s="29">
        <f t="shared" si="61"/>
        <v>52748.7</v>
      </c>
      <c r="U54" s="29">
        <f t="shared" ref="U54" si="62">SUM(U56:U58)</f>
        <v>0</v>
      </c>
      <c r="V54" s="30">
        <f t="shared" si="48"/>
        <v>6.4000000000000001E-2</v>
      </c>
      <c r="W54" s="31" t="s">
        <v>354</v>
      </c>
      <c r="X54" s="2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</row>
    <row r="55" spans="1:103" ht="22.5" customHeight="1">
      <c r="A55" s="15"/>
      <c r="B55" s="32" t="s">
        <v>15</v>
      </c>
      <c r="C55" s="67"/>
      <c r="D55" s="67"/>
      <c r="E55" s="67"/>
      <c r="F55" s="28"/>
      <c r="G55" s="29"/>
      <c r="H55" s="29"/>
      <c r="I55" s="29"/>
      <c r="J55" s="28"/>
      <c r="K55" s="29"/>
      <c r="L55" s="29"/>
      <c r="M55" s="29"/>
      <c r="N55" s="28"/>
      <c r="O55" s="29"/>
      <c r="P55" s="29"/>
      <c r="Q55" s="29"/>
      <c r="R55" s="28"/>
      <c r="S55" s="29"/>
      <c r="T55" s="29"/>
      <c r="U55" s="29"/>
      <c r="V55" s="30"/>
      <c r="W55" s="2"/>
      <c r="X55" s="2"/>
    </row>
    <row r="56" spans="1:103" ht="60" customHeight="1">
      <c r="A56" s="12"/>
      <c r="B56" s="36" t="s">
        <v>156</v>
      </c>
      <c r="C56" s="68">
        <v>811</v>
      </c>
      <c r="D56" s="69" t="s">
        <v>17</v>
      </c>
      <c r="E56" s="68" t="s">
        <v>157</v>
      </c>
      <c r="F56" s="28">
        <f t="shared" si="47"/>
        <v>169555.6</v>
      </c>
      <c r="G56" s="34"/>
      <c r="H56" s="34">
        <v>169555.6</v>
      </c>
      <c r="I56" s="34"/>
      <c r="J56" s="28">
        <f t="shared" ref="J56:J60" si="63">K56+L56+M56</f>
        <v>76725.600000000006</v>
      </c>
      <c r="K56" s="34"/>
      <c r="L56" s="34">
        <v>76725.600000000006</v>
      </c>
      <c r="M56" s="34"/>
      <c r="N56" s="28">
        <f t="shared" ref="N56:N60" si="64">O56+P56+Q56</f>
        <v>202861.2</v>
      </c>
      <c r="O56" s="34"/>
      <c r="P56" s="34">
        <v>202861.2</v>
      </c>
      <c r="Q56" s="34"/>
      <c r="R56" s="28">
        <f t="shared" ref="R56:R59" si="65">S56+T56+U56</f>
        <v>52748.7</v>
      </c>
      <c r="S56" s="34"/>
      <c r="T56" s="34">
        <v>52748.7</v>
      </c>
      <c r="U56" s="34"/>
      <c r="V56" s="35">
        <f t="shared" si="48"/>
        <v>0.45300000000000001</v>
      </c>
      <c r="W56" s="2"/>
      <c r="X56" s="2"/>
    </row>
    <row r="57" spans="1:103" ht="69" customHeight="1">
      <c r="A57" s="12"/>
      <c r="B57" s="36" t="s">
        <v>326</v>
      </c>
      <c r="C57" s="68">
        <v>821</v>
      </c>
      <c r="D57" s="69" t="s">
        <v>19</v>
      </c>
      <c r="E57" s="68" t="s">
        <v>158</v>
      </c>
      <c r="F57" s="28">
        <f t="shared" si="47"/>
        <v>3124455.9</v>
      </c>
      <c r="G57" s="34">
        <f>498971.2+122897.77</f>
        <v>621869</v>
      </c>
      <c r="H57" s="34">
        <f>1914972+587614.9</f>
        <v>2502586.9</v>
      </c>
      <c r="I57" s="34"/>
      <c r="J57" s="28">
        <f t="shared" si="63"/>
        <v>132615</v>
      </c>
      <c r="K57" s="34">
        <f>15655.6+1329.5+6441.8+3165.9</f>
        <v>26592.799999999999</v>
      </c>
      <c r="L57" s="34">
        <f>60083.6+5102.4+25713.9+15122.3</f>
        <v>106022.2</v>
      </c>
      <c r="M57" s="34"/>
      <c r="N57" s="28">
        <f t="shared" si="64"/>
        <v>0</v>
      </c>
      <c r="O57" s="34"/>
      <c r="P57" s="34"/>
      <c r="Q57" s="34"/>
      <c r="R57" s="28">
        <f t="shared" si="65"/>
        <v>0</v>
      </c>
      <c r="S57" s="34"/>
      <c r="T57" s="34"/>
      <c r="U57" s="34"/>
      <c r="V57" s="35">
        <f t="shared" si="48"/>
        <v>4.2000000000000003E-2</v>
      </c>
      <c r="W57" s="2"/>
      <c r="X57" s="2"/>
    </row>
    <row r="58" spans="1:103" ht="39" customHeight="1">
      <c r="A58" s="12"/>
      <c r="B58" s="36" t="s">
        <v>295</v>
      </c>
      <c r="C58" s="68">
        <v>821</v>
      </c>
      <c r="D58" s="69" t="s">
        <v>19</v>
      </c>
      <c r="E58" s="68" t="s">
        <v>255</v>
      </c>
      <c r="F58" s="28">
        <f t="shared" si="47"/>
        <v>107.2</v>
      </c>
      <c r="G58" s="34">
        <v>107.2</v>
      </c>
      <c r="H58" s="34"/>
      <c r="I58" s="34"/>
      <c r="J58" s="28">
        <f t="shared" si="63"/>
        <v>51.8</v>
      </c>
      <c r="K58" s="34">
        <v>51.8</v>
      </c>
      <c r="L58" s="34"/>
      <c r="M58" s="34"/>
      <c r="N58" s="28">
        <f t="shared" si="64"/>
        <v>0</v>
      </c>
      <c r="O58" s="34"/>
      <c r="P58" s="34"/>
      <c r="Q58" s="34"/>
      <c r="R58" s="28">
        <f t="shared" si="65"/>
        <v>0</v>
      </c>
      <c r="S58" s="34"/>
      <c r="T58" s="34"/>
      <c r="U58" s="34"/>
      <c r="V58" s="35">
        <f t="shared" si="48"/>
        <v>0.48299999999999998</v>
      </c>
      <c r="W58" s="2"/>
      <c r="X58" s="2"/>
    </row>
    <row r="59" spans="1:103" ht="24" customHeight="1">
      <c r="A59" s="20" t="s">
        <v>46</v>
      </c>
      <c r="B59" s="21" t="s">
        <v>47</v>
      </c>
      <c r="C59" s="52" t="s">
        <v>12</v>
      </c>
      <c r="D59" s="52" t="s">
        <v>12</v>
      </c>
      <c r="E59" s="52" t="s">
        <v>12</v>
      </c>
      <c r="F59" s="53">
        <f t="shared" si="47"/>
        <v>2895065.7</v>
      </c>
      <c r="G59" s="53">
        <f>G60+G73+G81+G89</f>
        <v>1510275.7</v>
      </c>
      <c r="H59" s="53">
        <f>H60+H73+H81+H89</f>
        <v>1130198.5</v>
      </c>
      <c r="I59" s="53">
        <f>I60+I73+I81+I89</f>
        <v>254591.5</v>
      </c>
      <c r="J59" s="53">
        <f t="shared" si="63"/>
        <v>1541877.5</v>
      </c>
      <c r="K59" s="53">
        <f>K60+K73+K81+K89</f>
        <v>1053833.2</v>
      </c>
      <c r="L59" s="53">
        <f>L60+L73+L81+L89</f>
        <v>464819.9</v>
      </c>
      <c r="M59" s="53">
        <f>M60+M73+M81+M89</f>
        <v>23224.400000000001</v>
      </c>
      <c r="N59" s="53">
        <f t="shared" si="64"/>
        <v>1782446</v>
      </c>
      <c r="O59" s="53">
        <f>O60+O73+O81+O89</f>
        <v>830892.5</v>
      </c>
      <c r="P59" s="53">
        <f>P60+P73+P81+P89</f>
        <v>950753.1</v>
      </c>
      <c r="Q59" s="53">
        <f>Q60+Q73+Q81+Q89</f>
        <v>800.4</v>
      </c>
      <c r="R59" s="53">
        <f t="shared" si="65"/>
        <v>670852.4</v>
      </c>
      <c r="S59" s="53">
        <f>S60+S73+S81+S89</f>
        <v>307419.40000000002</v>
      </c>
      <c r="T59" s="53">
        <f>T60+T73+T81+T89</f>
        <v>363433</v>
      </c>
      <c r="U59" s="53">
        <f>U60+U73+U81+U89</f>
        <v>0</v>
      </c>
      <c r="V59" s="54">
        <f t="shared" si="48"/>
        <v>0.53300000000000003</v>
      </c>
      <c r="W59" s="31"/>
      <c r="X59" s="2"/>
    </row>
    <row r="60" spans="1:103" ht="52.5" customHeight="1">
      <c r="A60" s="12" t="s">
        <v>48</v>
      </c>
      <c r="B60" s="57" t="s">
        <v>49</v>
      </c>
      <c r="C60" s="70" t="s">
        <v>12</v>
      </c>
      <c r="D60" s="70" t="s">
        <v>12</v>
      </c>
      <c r="E60" s="70" t="s">
        <v>12</v>
      </c>
      <c r="F60" s="29">
        <f t="shared" si="47"/>
        <v>2511134.4</v>
      </c>
      <c r="G60" s="29">
        <f>SUM(G62:G72)</f>
        <v>1371528.9</v>
      </c>
      <c r="H60" s="29">
        <f>SUM(H62:H72)</f>
        <v>887217.1</v>
      </c>
      <c r="I60" s="29">
        <f>SUM(I62:I72)</f>
        <v>252388.4</v>
      </c>
      <c r="J60" s="29">
        <f t="shared" si="63"/>
        <v>1332509.2</v>
      </c>
      <c r="K60" s="29">
        <f>SUM(K62:K72)</f>
        <v>944012.3</v>
      </c>
      <c r="L60" s="29">
        <f t="shared" ref="L60:M60" si="66">SUM(L62:L72)</f>
        <v>366807.2</v>
      </c>
      <c r="M60" s="29">
        <f t="shared" si="66"/>
        <v>21689.7</v>
      </c>
      <c r="N60" s="28">
        <f t="shared" si="64"/>
        <v>1551092.5</v>
      </c>
      <c r="O60" s="29">
        <f>SUM(O62:O69)</f>
        <v>716668.4</v>
      </c>
      <c r="P60" s="29">
        <f>SUM(P62:P72)</f>
        <v>833623.7</v>
      </c>
      <c r="Q60" s="29">
        <f t="shared" ref="Q60:R60" si="67">SUM(Q62:Q72)</f>
        <v>800.4</v>
      </c>
      <c r="R60" s="29">
        <f t="shared" si="67"/>
        <v>98222.399999999994</v>
      </c>
      <c r="S60" s="29">
        <f>SUM(S62:S69)</f>
        <v>40038.800000000003</v>
      </c>
      <c r="T60" s="29">
        <f>SUM(T62:T72)</f>
        <v>58183.6</v>
      </c>
      <c r="U60" s="29">
        <f>SUM(U62:U72)</f>
        <v>0</v>
      </c>
      <c r="V60" s="41">
        <f t="shared" si="48"/>
        <v>0.53100000000000003</v>
      </c>
      <c r="W60" s="31" t="s">
        <v>355</v>
      </c>
      <c r="X60" s="2"/>
    </row>
    <row r="61" spans="1:103" ht="18.75">
      <c r="A61" s="42"/>
      <c r="B61" s="43" t="s">
        <v>15</v>
      </c>
      <c r="C61" s="33"/>
      <c r="D61" s="33"/>
      <c r="E61" s="33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41"/>
      <c r="W61" s="2"/>
      <c r="X61" s="2"/>
    </row>
    <row r="62" spans="1:103" ht="82.5" customHeight="1">
      <c r="A62" s="42"/>
      <c r="B62" s="44" t="s">
        <v>311</v>
      </c>
      <c r="C62" s="37">
        <v>815</v>
      </c>
      <c r="D62" s="38" t="s">
        <v>50</v>
      </c>
      <c r="E62" s="71" t="s">
        <v>167</v>
      </c>
      <c r="F62" s="28">
        <f t="shared" si="47"/>
        <v>37649.699999999997</v>
      </c>
      <c r="G62" s="34">
        <v>1129.5</v>
      </c>
      <c r="H62" s="34">
        <v>36520.199999999997</v>
      </c>
      <c r="I62" s="34"/>
      <c r="J62" s="28">
        <f t="shared" ref="J62:J73" si="68">K62+L62+M62</f>
        <v>3138.1</v>
      </c>
      <c r="K62" s="34">
        <f>0.7+30.9+8.2+54.3</f>
        <v>94.1</v>
      </c>
      <c r="L62" s="34">
        <f>23.8+997.9+265.3+1757</f>
        <v>3044</v>
      </c>
      <c r="M62" s="34"/>
      <c r="N62" s="28">
        <f t="shared" ref="N62:N73" si="69">O62+P62+Q62</f>
        <v>43468.800000000003</v>
      </c>
      <c r="O62" s="34">
        <v>5426.7</v>
      </c>
      <c r="P62" s="34">
        <v>38042.1</v>
      </c>
      <c r="Q62" s="34"/>
      <c r="R62" s="28">
        <f t="shared" ref="R62:R73" si="70">S62+T62+U62</f>
        <v>41948.7</v>
      </c>
      <c r="S62" s="34">
        <v>5433.9</v>
      </c>
      <c r="T62" s="34">
        <v>36514.800000000003</v>
      </c>
      <c r="U62" s="34"/>
      <c r="V62" s="35">
        <f t="shared" si="48"/>
        <v>8.3000000000000004E-2</v>
      </c>
      <c r="W62" s="2"/>
      <c r="X62" s="2"/>
    </row>
    <row r="63" spans="1:103" ht="83.25" customHeight="1">
      <c r="A63" s="42"/>
      <c r="B63" s="44" t="s">
        <v>284</v>
      </c>
      <c r="C63" s="37">
        <v>815</v>
      </c>
      <c r="D63" s="38" t="s">
        <v>50</v>
      </c>
      <c r="E63" s="71" t="s">
        <v>285</v>
      </c>
      <c r="F63" s="28">
        <f t="shared" si="47"/>
        <v>30705.8</v>
      </c>
      <c r="G63" s="34">
        <v>20011.599999999999</v>
      </c>
      <c r="H63" s="34">
        <v>10694.2</v>
      </c>
      <c r="I63" s="34"/>
      <c r="J63" s="28">
        <f t="shared" si="68"/>
        <v>20177.900000000001</v>
      </c>
      <c r="K63" s="34">
        <f>3468+1775.4+2139.2+1100+1989</f>
        <v>10471.6</v>
      </c>
      <c r="L63" s="34">
        <f>444.5+4924.2+4337.6</f>
        <v>9706.2999999999993</v>
      </c>
      <c r="M63" s="34"/>
      <c r="N63" s="28">
        <f t="shared" si="69"/>
        <v>22920.5</v>
      </c>
      <c r="O63" s="34">
        <v>22920.5</v>
      </c>
      <c r="P63" s="34"/>
      <c r="Q63" s="34"/>
      <c r="R63" s="28">
        <f t="shared" si="70"/>
        <v>24056.9</v>
      </c>
      <c r="S63" s="34">
        <v>24056.9</v>
      </c>
      <c r="T63" s="34"/>
      <c r="U63" s="34"/>
      <c r="V63" s="35">
        <f t="shared" si="48"/>
        <v>0.65700000000000003</v>
      </c>
      <c r="W63" s="2"/>
      <c r="X63" s="2"/>
    </row>
    <row r="64" spans="1:103" ht="70.5" customHeight="1">
      <c r="A64" s="42"/>
      <c r="B64" s="44" t="s">
        <v>282</v>
      </c>
      <c r="C64" s="37">
        <v>821</v>
      </c>
      <c r="D64" s="38" t="s">
        <v>19</v>
      </c>
      <c r="E64" s="71" t="s">
        <v>283</v>
      </c>
      <c r="F64" s="28">
        <f t="shared" si="47"/>
        <v>18800</v>
      </c>
      <c r="G64" s="34">
        <f>15900-2400</f>
        <v>13500</v>
      </c>
      <c r="H64" s="34"/>
      <c r="I64" s="34">
        <v>5300</v>
      </c>
      <c r="J64" s="28">
        <f t="shared" si="68"/>
        <v>18000</v>
      </c>
      <c r="K64" s="34">
        <v>13500</v>
      </c>
      <c r="L64" s="34"/>
      <c r="M64" s="34">
        <v>4500</v>
      </c>
      <c r="N64" s="28">
        <f t="shared" si="69"/>
        <v>0</v>
      </c>
      <c r="O64" s="34"/>
      <c r="P64" s="34"/>
      <c r="Q64" s="34"/>
      <c r="R64" s="28">
        <f t="shared" si="70"/>
        <v>0</v>
      </c>
      <c r="S64" s="34"/>
      <c r="T64" s="34"/>
      <c r="U64" s="34"/>
      <c r="V64" s="35">
        <f t="shared" si="48"/>
        <v>0.95699999999999996</v>
      </c>
      <c r="W64" s="2"/>
      <c r="X64" s="2"/>
    </row>
    <row r="65" spans="1:24" ht="65.25" customHeight="1">
      <c r="A65" s="42"/>
      <c r="B65" s="44" t="s">
        <v>382</v>
      </c>
      <c r="C65" s="37">
        <v>815</v>
      </c>
      <c r="D65" s="38" t="s">
        <v>50</v>
      </c>
      <c r="E65" s="71" t="s">
        <v>380</v>
      </c>
      <c r="F65" s="28">
        <f t="shared" ref="F65:F66" si="71">G65+H65+I65</f>
        <v>11339.2</v>
      </c>
      <c r="G65" s="34">
        <v>11327.8</v>
      </c>
      <c r="H65" s="34"/>
      <c r="I65" s="34">
        <v>11.4</v>
      </c>
      <c r="J65" s="28">
        <f t="shared" ref="J65:J66" si="72">K65+L65+M65</f>
        <v>0</v>
      </c>
      <c r="K65" s="34"/>
      <c r="L65" s="34"/>
      <c r="M65" s="34"/>
      <c r="N65" s="28">
        <f t="shared" ref="N65:N66" si="73">O65+P65+Q65</f>
        <v>0</v>
      </c>
      <c r="O65" s="34"/>
      <c r="P65" s="34"/>
      <c r="Q65" s="34"/>
      <c r="R65" s="28">
        <f t="shared" ref="R65:R66" si="74">S65+T65+U65</f>
        <v>0</v>
      </c>
      <c r="S65" s="34"/>
      <c r="T65" s="34"/>
      <c r="U65" s="34"/>
      <c r="V65" s="35">
        <f t="shared" ref="V65:V66" si="75">J65/F65</f>
        <v>0</v>
      </c>
      <c r="W65" s="2"/>
      <c r="X65" s="2"/>
    </row>
    <row r="66" spans="1:24" ht="60.75" customHeight="1">
      <c r="A66" s="42"/>
      <c r="B66" s="44" t="s">
        <v>383</v>
      </c>
      <c r="C66" s="37">
        <v>821</v>
      </c>
      <c r="D66" s="38" t="s">
        <v>19</v>
      </c>
      <c r="E66" s="71" t="s">
        <v>381</v>
      </c>
      <c r="F66" s="28">
        <f t="shared" si="71"/>
        <v>493148.9</v>
      </c>
      <c r="G66" s="34">
        <v>14779.7</v>
      </c>
      <c r="H66" s="34">
        <v>477876.1</v>
      </c>
      <c r="I66" s="34">
        <v>493.1</v>
      </c>
      <c r="J66" s="28">
        <f t="shared" si="72"/>
        <v>0</v>
      </c>
      <c r="K66" s="34"/>
      <c r="L66" s="34"/>
      <c r="M66" s="34"/>
      <c r="N66" s="28">
        <f t="shared" si="73"/>
        <v>493456.2</v>
      </c>
      <c r="O66" s="34">
        <v>14779.7</v>
      </c>
      <c r="P66" s="34">
        <v>477876.1</v>
      </c>
      <c r="Q66" s="34">
        <v>800.4</v>
      </c>
      <c r="R66" s="28">
        <f t="shared" si="74"/>
        <v>0</v>
      </c>
      <c r="S66" s="34"/>
      <c r="T66" s="34"/>
      <c r="U66" s="34"/>
      <c r="V66" s="35">
        <f t="shared" si="75"/>
        <v>0</v>
      </c>
      <c r="W66" s="2"/>
      <c r="X66" s="2"/>
    </row>
    <row r="67" spans="1:24" ht="77.25" customHeight="1">
      <c r="A67" s="42"/>
      <c r="B67" s="44" t="s">
        <v>168</v>
      </c>
      <c r="C67" s="37">
        <v>815</v>
      </c>
      <c r="D67" s="38" t="s">
        <v>50</v>
      </c>
      <c r="E67" s="71" t="s">
        <v>169</v>
      </c>
      <c r="F67" s="28">
        <f t="shared" si="47"/>
        <v>20574.099999999999</v>
      </c>
      <c r="G67" s="34">
        <v>6303.9</v>
      </c>
      <c r="H67" s="34">
        <v>14270.2</v>
      </c>
      <c r="I67" s="34">
        <v>0</v>
      </c>
      <c r="J67" s="28">
        <f t="shared" si="68"/>
        <v>17819.5</v>
      </c>
      <c r="K67" s="34">
        <f>916.5+1047.8+1400.2+894.1</f>
        <v>4258.6000000000004</v>
      </c>
      <c r="L67" s="34">
        <f>5370.3+4587.6+3603</f>
        <v>13560.9</v>
      </c>
      <c r="M67" s="34">
        <v>0</v>
      </c>
      <c r="N67" s="28">
        <f t="shared" si="69"/>
        <v>15899.6</v>
      </c>
      <c r="O67" s="34">
        <v>477</v>
      </c>
      <c r="P67" s="34">
        <v>15422.6</v>
      </c>
      <c r="Q67" s="34"/>
      <c r="R67" s="28">
        <f t="shared" si="70"/>
        <v>32216.799999999999</v>
      </c>
      <c r="S67" s="34">
        <v>10548</v>
      </c>
      <c r="T67" s="34">
        <v>21668.799999999999</v>
      </c>
      <c r="U67" s="34"/>
      <c r="V67" s="35">
        <f>J67/F67</f>
        <v>0.86599999999999999</v>
      </c>
      <c r="W67" s="2"/>
      <c r="X67" s="2"/>
    </row>
    <row r="68" spans="1:24" ht="39" customHeight="1">
      <c r="A68" s="42"/>
      <c r="B68" s="44" t="s">
        <v>137</v>
      </c>
      <c r="C68" s="37">
        <v>821</v>
      </c>
      <c r="D68" s="38" t="s">
        <v>19</v>
      </c>
      <c r="E68" s="71" t="s">
        <v>170</v>
      </c>
      <c r="F68" s="28">
        <f t="shared" si="47"/>
        <v>0</v>
      </c>
      <c r="G68" s="34"/>
      <c r="H68" s="34"/>
      <c r="I68" s="34"/>
      <c r="J68" s="28">
        <f t="shared" si="68"/>
        <v>0</v>
      </c>
      <c r="K68" s="34"/>
      <c r="L68" s="34"/>
      <c r="M68" s="34"/>
      <c r="N68" s="28">
        <f t="shared" si="69"/>
        <v>975347.4</v>
      </c>
      <c r="O68" s="34">
        <f>687844.2-14779.7</f>
        <v>673064.5</v>
      </c>
      <c r="P68" s="34">
        <v>302282.90000000002</v>
      </c>
      <c r="Q68" s="34"/>
      <c r="R68" s="28">
        <f t="shared" si="70"/>
        <v>0</v>
      </c>
      <c r="S68" s="34"/>
      <c r="T68" s="34"/>
      <c r="U68" s="34"/>
      <c r="V68" s="35"/>
      <c r="W68" s="2"/>
      <c r="X68" s="2"/>
    </row>
    <row r="69" spans="1:24" ht="36" customHeight="1">
      <c r="A69" s="42"/>
      <c r="B69" s="44" t="s">
        <v>137</v>
      </c>
      <c r="C69" s="37">
        <v>815</v>
      </c>
      <c r="D69" s="38" t="s">
        <v>50</v>
      </c>
      <c r="E69" s="71" t="s">
        <v>170</v>
      </c>
      <c r="F69" s="28">
        <f t="shared" si="47"/>
        <v>1601770.7</v>
      </c>
      <c r="G69" s="34">
        <f>150670.7+1147189.9</f>
        <v>1297860.6000000001</v>
      </c>
      <c r="H69" s="34">
        <v>303910.09999999998</v>
      </c>
      <c r="I69" s="34"/>
      <c r="J69" s="28">
        <f t="shared" si="68"/>
        <v>1218436.6000000001</v>
      </c>
      <c r="K69" s="34">
        <f>751.7+39252.1+845271.5+29251.2</f>
        <v>914526.5</v>
      </c>
      <c r="L69" s="34">
        <v>303910.09999999998</v>
      </c>
      <c r="M69" s="34"/>
      <c r="N69" s="28">
        <f t="shared" si="69"/>
        <v>0</v>
      </c>
      <c r="O69" s="34"/>
      <c r="P69" s="34"/>
      <c r="Q69" s="34"/>
      <c r="R69" s="28">
        <f t="shared" si="70"/>
        <v>0</v>
      </c>
      <c r="S69" s="34"/>
      <c r="T69" s="34"/>
      <c r="U69" s="34"/>
      <c r="V69" s="35">
        <f t="shared" si="48"/>
        <v>0.76100000000000001</v>
      </c>
      <c r="W69" s="2"/>
      <c r="X69" s="2"/>
    </row>
    <row r="70" spans="1:24" ht="45.75" customHeight="1">
      <c r="A70" s="42"/>
      <c r="B70" s="44" t="s">
        <v>137</v>
      </c>
      <c r="C70" s="37">
        <v>815</v>
      </c>
      <c r="D70" s="38" t="s">
        <v>50</v>
      </c>
      <c r="E70" s="71" t="s">
        <v>341</v>
      </c>
      <c r="F70" s="28">
        <f t="shared" ref="F70" si="76">G70+H70+I70</f>
        <v>180</v>
      </c>
      <c r="G70" s="34">
        <v>180</v>
      </c>
      <c r="H70" s="34"/>
      <c r="I70" s="34"/>
      <c r="J70" s="28">
        <f t="shared" ref="J70" si="77">K70+L70+M70</f>
        <v>30</v>
      </c>
      <c r="K70" s="34">
        <v>30</v>
      </c>
      <c r="L70" s="34"/>
      <c r="M70" s="34"/>
      <c r="N70" s="28">
        <f t="shared" ref="N70" si="78">O70+P70+Q70</f>
        <v>0</v>
      </c>
      <c r="O70" s="34"/>
      <c r="P70" s="34"/>
      <c r="Q70" s="34"/>
      <c r="R70" s="28">
        <f t="shared" ref="R70" si="79">S70+T70+U70</f>
        <v>0</v>
      </c>
      <c r="S70" s="34"/>
      <c r="T70" s="34"/>
      <c r="U70" s="34"/>
      <c r="V70" s="35">
        <f t="shared" ref="V70" si="80">J70/F70</f>
        <v>0.16700000000000001</v>
      </c>
      <c r="W70" s="2"/>
      <c r="X70" s="2"/>
    </row>
    <row r="71" spans="1:24" ht="53.25" customHeight="1">
      <c r="A71" s="42"/>
      <c r="B71" s="44" t="s">
        <v>329</v>
      </c>
      <c r="C71" s="37">
        <v>821</v>
      </c>
      <c r="D71" s="38" t="s">
        <v>19</v>
      </c>
      <c r="E71" s="71" t="s">
        <v>328</v>
      </c>
      <c r="F71" s="28">
        <f t="shared" ref="F71" si="81">G71+H71+I71</f>
        <v>291884.3</v>
      </c>
      <c r="G71" s="34">
        <v>1359.2</v>
      </c>
      <c r="H71" s="34">
        <v>43946.3</v>
      </c>
      <c r="I71" s="34">
        <v>246578.8</v>
      </c>
      <c r="J71" s="28">
        <f t="shared" ref="J71" si="82">K71+L71+M71</f>
        <v>54907.1</v>
      </c>
      <c r="K71" s="34">
        <f>290.6+130.8+165+227.3+92.3+225.5</f>
        <v>1131.5</v>
      </c>
      <c r="L71" s="34">
        <f>9396.2+4227.8+5335.8+7348.3+2984.9+7292.9</f>
        <v>36585.9</v>
      </c>
      <c r="M71" s="34">
        <v>17189.7</v>
      </c>
      <c r="N71" s="28">
        <f t="shared" ref="N71" si="83">O71+P71+Q71</f>
        <v>0</v>
      </c>
      <c r="O71" s="34"/>
      <c r="P71" s="34"/>
      <c r="Q71" s="34"/>
      <c r="R71" s="28">
        <f t="shared" ref="R71" si="84">S71+T71+U71</f>
        <v>0</v>
      </c>
      <c r="S71" s="34"/>
      <c r="T71" s="34"/>
      <c r="U71" s="34"/>
      <c r="V71" s="35">
        <f t="shared" ref="V71" si="85">J71/F71</f>
        <v>0.188</v>
      </c>
      <c r="W71" s="2"/>
      <c r="X71" s="2"/>
    </row>
    <row r="72" spans="1:24" ht="53.25" customHeight="1">
      <c r="A72" s="42"/>
      <c r="B72" s="44" t="s">
        <v>329</v>
      </c>
      <c r="C72" s="37">
        <v>821</v>
      </c>
      <c r="D72" s="38" t="s">
        <v>19</v>
      </c>
      <c r="E72" s="71" t="s">
        <v>330</v>
      </c>
      <c r="F72" s="28">
        <f t="shared" ref="F72" si="86">G72+H72+I72</f>
        <v>5081.7</v>
      </c>
      <c r="G72" s="34">
        <v>5076.6000000000004</v>
      </c>
      <c r="H72" s="34"/>
      <c r="I72" s="34">
        <v>5.0999999999999996</v>
      </c>
      <c r="J72" s="28">
        <f t="shared" ref="J72" si="87">K72+L72+M72</f>
        <v>0</v>
      </c>
      <c r="K72" s="34"/>
      <c r="L72" s="34"/>
      <c r="M72" s="34">
        <v>0</v>
      </c>
      <c r="N72" s="28">
        <f t="shared" ref="N72" si="88">O72+P72+Q72</f>
        <v>0</v>
      </c>
      <c r="O72" s="34"/>
      <c r="P72" s="34"/>
      <c r="Q72" s="34"/>
      <c r="R72" s="28">
        <f t="shared" ref="R72" si="89">S72+T72+U72</f>
        <v>0</v>
      </c>
      <c r="S72" s="34"/>
      <c r="T72" s="34"/>
      <c r="U72" s="34"/>
      <c r="V72" s="35">
        <f t="shared" ref="V72" si="90">J72/F72</f>
        <v>0</v>
      </c>
      <c r="W72" s="2"/>
      <c r="X72" s="2"/>
    </row>
    <row r="73" spans="1:24" ht="34.5" customHeight="1">
      <c r="A73" s="25" t="s">
        <v>51</v>
      </c>
      <c r="B73" s="57" t="s">
        <v>52</v>
      </c>
      <c r="C73" s="27" t="s">
        <v>12</v>
      </c>
      <c r="D73" s="27" t="s">
        <v>12</v>
      </c>
      <c r="E73" s="27" t="s">
        <v>12</v>
      </c>
      <c r="F73" s="28">
        <f t="shared" si="47"/>
        <v>192771.4</v>
      </c>
      <c r="G73" s="29">
        <f t="shared" ref="G73:H73" si="91">SUM(G75:G80)</f>
        <v>37703.5</v>
      </c>
      <c r="H73" s="29">
        <f t="shared" si="91"/>
        <v>155067.9</v>
      </c>
      <c r="I73" s="29">
        <f t="shared" ref="I73" si="92">SUM(I75:I80)</f>
        <v>0</v>
      </c>
      <c r="J73" s="28">
        <f t="shared" si="68"/>
        <v>45829.9</v>
      </c>
      <c r="K73" s="29">
        <f t="shared" ref="K73:M73" si="93">SUM(K75:K80)</f>
        <v>31653.4</v>
      </c>
      <c r="L73" s="29">
        <f t="shared" si="93"/>
        <v>14176.5</v>
      </c>
      <c r="M73" s="29">
        <f t="shared" si="93"/>
        <v>0</v>
      </c>
      <c r="N73" s="28">
        <f t="shared" si="69"/>
        <v>146020</v>
      </c>
      <c r="O73" s="29">
        <f t="shared" ref="O73:T73" si="94">SUM(O75:O80)</f>
        <v>36887.300000000003</v>
      </c>
      <c r="P73" s="29">
        <f t="shared" si="94"/>
        <v>109132.7</v>
      </c>
      <c r="Q73" s="29">
        <f t="shared" si="94"/>
        <v>0</v>
      </c>
      <c r="R73" s="28">
        <f t="shared" si="70"/>
        <v>155515.79999999999</v>
      </c>
      <c r="S73" s="29">
        <f t="shared" si="94"/>
        <v>49342.2</v>
      </c>
      <c r="T73" s="29">
        <f t="shared" si="94"/>
        <v>106173.6</v>
      </c>
      <c r="U73" s="29">
        <f t="shared" ref="U73" si="95">SUM(U75:U80)</f>
        <v>0</v>
      </c>
      <c r="V73" s="30">
        <f t="shared" si="48"/>
        <v>0.23799999999999999</v>
      </c>
      <c r="W73" s="31" t="s">
        <v>356</v>
      </c>
      <c r="X73" s="2"/>
    </row>
    <row r="74" spans="1:24" ht="18.75">
      <c r="A74" s="42"/>
      <c r="B74" s="43" t="s">
        <v>15</v>
      </c>
      <c r="C74" s="33"/>
      <c r="D74" s="33"/>
      <c r="E74" s="33"/>
      <c r="F74" s="28"/>
      <c r="G74" s="29"/>
      <c r="H74" s="29"/>
      <c r="I74" s="29"/>
      <c r="J74" s="28"/>
      <c r="K74" s="29"/>
      <c r="L74" s="29"/>
      <c r="M74" s="29"/>
      <c r="N74" s="28"/>
      <c r="O74" s="29"/>
      <c r="P74" s="29"/>
      <c r="Q74" s="29"/>
      <c r="R74" s="28"/>
      <c r="S74" s="29"/>
      <c r="T74" s="29"/>
      <c r="U74" s="29"/>
      <c r="V74" s="30"/>
      <c r="W74" s="2"/>
      <c r="X74" s="2"/>
    </row>
    <row r="75" spans="1:24" ht="55.5" customHeight="1">
      <c r="A75" s="42"/>
      <c r="B75" s="44" t="s">
        <v>312</v>
      </c>
      <c r="C75" s="37">
        <v>815</v>
      </c>
      <c r="D75" s="38" t="s">
        <v>50</v>
      </c>
      <c r="E75" s="71" t="s">
        <v>177</v>
      </c>
      <c r="F75" s="28">
        <f t="shared" si="47"/>
        <v>131069.2</v>
      </c>
      <c r="G75" s="34">
        <v>3932.1</v>
      </c>
      <c r="H75" s="34">
        <v>127137.1</v>
      </c>
      <c r="I75" s="34"/>
      <c r="J75" s="28">
        <f t="shared" ref="J75:J81" si="96">K75+L75+M75</f>
        <v>1668.6</v>
      </c>
      <c r="K75" s="34">
        <f>25.6+9.9+14.5</f>
        <v>50</v>
      </c>
      <c r="L75" s="34">
        <f>828.4+320.1+470.1</f>
        <v>1618.6</v>
      </c>
      <c r="M75" s="34"/>
      <c r="N75" s="28">
        <f t="shared" ref="N75:N81" si="97">O75+P75+Q75</f>
        <v>83973.6</v>
      </c>
      <c r="O75" s="34">
        <v>2519.1999999999998</v>
      </c>
      <c r="P75" s="34">
        <v>81454.399999999994</v>
      </c>
      <c r="Q75" s="34"/>
      <c r="R75" s="28">
        <f t="shared" ref="R75:R81" si="98">S75+T75+U75</f>
        <v>98511.5</v>
      </c>
      <c r="S75" s="34">
        <v>2955.3</v>
      </c>
      <c r="T75" s="34">
        <v>95556.2</v>
      </c>
      <c r="U75" s="34"/>
      <c r="V75" s="35">
        <f t="shared" si="48"/>
        <v>1.2999999999999999E-2</v>
      </c>
      <c r="W75" s="2"/>
      <c r="X75" s="2"/>
    </row>
    <row r="76" spans="1:24" ht="55.5" customHeight="1">
      <c r="A76" s="42"/>
      <c r="B76" s="44" t="s">
        <v>54</v>
      </c>
      <c r="C76" s="37">
        <v>815</v>
      </c>
      <c r="D76" s="38" t="s">
        <v>50</v>
      </c>
      <c r="E76" s="71" t="s">
        <v>221</v>
      </c>
      <c r="F76" s="28">
        <f t="shared" si="47"/>
        <v>474.8</v>
      </c>
      <c r="G76" s="34">
        <v>474.8</v>
      </c>
      <c r="H76" s="34"/>
      <c r="I76" s="34"/>
      <c r="J76" s="28">
        <f t="shared" si="96"/>
        <v>336.3</v>
      </c>
      <c r="K76" s="34">
        <f>30.4+30+171.4+87.3+17.2</f>
        <v>336.3</v>
      </c>
      <c r="L76" s="34"/>
      <c r="M76" s="34"/>
      <c r="N76" s="28">
        <f t="shared" si="97"/>
        <v>547.20000000000005</v>
      </c>
      <c r="O76" s="34">
        <v>547.20000000000005</v>
      </c>
      <c r="P76" s="34"/>
      <c r="Q76" s="34"/>
      <c r="R76" s="28">
        <f t="shared" si="98"/>
        <v>864.6</v>
      </c>
      <c r="S76" s="34">
        <v>864.6</v>
      </c>
      <c r="T76" s="34"/>
      <c r="U76" s="34"/>
      <c r="V76" s="35">
        <f t="shared" si="48"/>
        <v>0.70799999999999996</v>
      </c>
      <c r="W76" s="2"/>
      <c r="X76" s="2"/>
    </row>
    <row r="77" spans="1:24" ht="55.5" customHeight="1">
      <c r="A77" s="42"/>
      <c r="B77" s="44" t="s">
        <v>312</v>
      </c>
      <c r="C77" s="37">
        <v>816</v>
      </c>
      <c r="D77" s="38" t="s">
        <v>53</v>
      </c>
      <c r="E77" s="71" t="s">
        <v>177</v>
      </c>
      <c r="F77" s="28">
        <f t="shared" si="47"/>
        <v>17096</v>
      </c>
      <c r="G77" s="34">
        <v>512.9</v>
      </c>
      <c r="H77" s="34">
        <v>16583.099999999999</v>
      </c>
      <c r="I77" s="34"/>
      <c r="J77" s="28">
        <f t="shared" si="96"/>
        <v>1248.7</v>
      </c>
      <c r="K77" s="34">
        <f>8+29.5</f>
        <v>37.5</v>
      </c>
      <c r="L77" s="34">
        <f>257.9+953.3</f>
        <v>1211.2</v>
      </c>
      <c r="M77" s="34"/>
      <c r="N77" s="28">
        <f t="shared" si="97"/>
        <v>11090.8</v>
      </c>
      <c r="O77" s="34">
        <v>332.7</v>
      </c>
      <c r="P77" s="34">
        <v>10758.1</v>
      </c>
      <c r="Q77" s="34"/>
      <c r="R77" s="28">
        <f t="shared" si="98"/>
        <v>10945.8</v>
      </c>
      <c r="S77" s="34">
        <v>328.4</v>
      </c>
      <c r="T77" s="34">
        <v>10617.4</v>
      </c>
      <c r="U77" s="34"/>
      <c r="V77" s="35">
        <f t="shared" si="48"/>
        <v>7.2999999999999995E-2</v>
      </c>
      <c r="W77" s="2"/>
      <c r="X77" s="2"/>
    </row>
    <row r="78" spans="1:24" ht="33">
      <c r="A78" s="42"/>
      <c r="B78" s="44" t="s">
        <v>178</v>
      </c>
      <c r="C78" s="37">
        <v>815</v>
      </c>
      <c r="D78" s="38" t="s">
        <v>50</v>
      </c>
      <c r="E78" s="71" t="s">
        <v>179</v>
      </c>
      <c r="F78" s="28">
        <f t="shared" si="47"/>
        <v>11698.7</v>
      </c>
      <c r="G78" s="34">
        <v>351</v>
      </c>
      <c r="H78" s="34">
        <v>11347.7</v>
      </c>
      <c r="I78" s="34"/>
      <c r="J78" s="28">
        <f t="shared" si="96"/>
        <v>11697.6</v>
      </c>
      <c r="K78" s="34">
        <f>23.4+327.5</f>
        <v>350.9</v>
      </c>
      <c r="L78" s="34">
        <f>757.5+10589.2</f>
        <v>11346.7</v>
      </c>
      <c r="M78" s="34"/>
      <c r="N78" s="28">
        <f t="shared" si="97"/>
        <v>17443.5</v>
      </c>
      <c r="O78" s="34">
        <v>523.29999999999995</v>
      </c>
      <c r="P78" s="34">
        <v>16920.2</v>
      </c>
      <c r="Q78" s="34"/>
      <c r="R78" s="28">
        <f t="shared" si="98"/>
        <v>0</v>
      </c>
      <c r="S78" s="34"/>
      <c r="T78" s="34"/>
      <c r="U78" s="34"/>
      <c r="V78" s="35">
        <f t="shared" si="48"/>
        <v>1</v>
      </c>
      <c r="W78" s="2"/>
      <c r="X78" s="2"/>
    </row>
    <row r="79" spans="1:24" ht="53.25" customHeight="1">
      <c r="A79" s="42"/>
      <c r="B79" s="44" t="s">
        <v>247</v>
      </c>
      <c r="C79" s="37">
        <v>815</v>
      </c>
      <c r="D79" s="38" t="s">
        <v>50</v>
      </c>
      <c r="E79" s="42" t="s">
        <v>248</v>
      </c>
      <c r="F79" s="28">
        <f t="shared" si="47"/>
        <v>29458.1</v>
      </c>
      <c r="G79" s="34">
        <v>29458.1</v>
      </c>
      <c r="H79" s="34"/>
      <c r="I79" s="34"/>
      <c r="J79" s="28">
        <f t="shared" si="96"/>
        <v>27904.1</v>
      </c>
      <c r="K79" s="34">
        <f>14726.4+1577+2174.7+8550.4+301.7+573.9</f>
        <v>27904.1</v>
      </c>
      <c r="L79" s="34"/>
      <c r="M79" s="34"/>
      <c r="N79" s="28">
        <f t="shared" si="97"/>
        <v>29315.7</v>
      </c>
      <c r="O79" s="34">
        <v>29315.7</v>
      </c>
      <c r="P79" s="34"/>
      <c r="Q79" s="34"/>
      <c r="R79" s="28">
        <f t="shared" si="98"/>
        <v>40803.4</v>
      </c>
      <c r="S79" s="34">
        <v>40803.4</v>
      </c>
      <c r="T79" s="34"/>
      <c r="U79" s="34"/>
      <c r="V79" s="35">
        <f t="shared" si="48"/>
        <v>0.94699999999999995</v>
      </c>
      <c r="W79" s="2"/>
      <c r="X79" s="2"/>
    </row>
    <row r="80" spans="1:24" ht="53.25" customHeight="1">
      <c r="A80" s="42"/>
      <c r="B80" s="44" t="s">
        <v>55</v>
      </c>
      <c r="C80" s="37">
        <v>816</v>
      </c>
      <c r="D80" s="38" t="s">
        <v>53</v>
      </c>
      <c r="E80" s="71" t="s">
        <v>231</v>
      </c>
      <c r="F80" s="28">
        <f t="shared" si="47"/>
        <v>2974.6</v>
      </c>
      <c r="G80" s="34">
        <f>3194.1-219.5</f>
        <v>2974.6</v>
      </c>
      <c r="H80" s="34"/>
      <c r="I80" s="34"/>
      <c r="J80" s="28">
        <f t="shared" si="96"/>
        <v>2974.6</v>
      </c>
      <c r="K80" s="34">
        <f>1561.8+1421.8-9</f>
        <v>2974.6</v>
      </c>
      <c r="L80" s="34"/>
      <c r="M80" s="34"/>
      <c r="N80" s="28">
        <f t="shared" si="97"/>
        <v>3649.2</v>
      </c>
      <c r="O80" s="34">
        <v>3649.2</v>
      </c>
      <c r="P80" s="34"/>
      <c r="Q80" s="34"/>
      <c r="R80" s="28">
        <f t="shared" si="98"/>
        <v>4390.5</v>
      </c>
      <c r="S80" s="34">
        <v>4390.5</v>
      </c>
      <c r="T80" s="34"/>
      <c r="U80" s="34"/>
      <c r="V80" s="35">
        <f t="shared" si="48"/>
        <v>1</v>
      </c>
      <c r="W80" s="2"/>
      <c r="X80" s="2"/>
    </row>
    <row r="81" spans="1:24" ht="46.5" customHeight="1">
      <c r="A81" s="12" t="s">
        <v>56</v>
      </c>
      <c r="B81" s="26" t="s">
        <v>57</v>
      </c>
      <c r="C81" s="40" t="s">
        <v>12</v>
      </c>
      <c r="D81" s="40" t="s">
        <v>12</v>
      </c>
      <c r="E81" s="40" t="s">
        <v>12</v>
      </c>
      <c r="F81" s="28">
        <f t="shared" si="47"/>
        <v>125761.9</v>
      </c>
      <c r="G81" s="29">
        <f>SUM(G83:G88)</f>
        <v>35645.300000000003</v>
      </c>
      <c r="H81" s="29">
        <f>SUM(H83:H88)</f>
        <v>87913.5</v>
      </c>
      <c r="I81" s="29">
        <f>SUM(I83:I88)</f>
        <v>2203.1</v>
      </c>
      <c r="J81" s="28">
        <f t="shared" si="96"/>
        <v>112089</v>
      </c>
      <c r="K81" s="29">
        <f>SUM(K83:K88)</f>
        <v>26718.1</v>
      </c>
      <c r="L81" s="29">
        <f>SUM(L83:L88)</f>
        <v>83836.2</v>
      </c>
      <c r="M81" s="29">
        <f>SUM(M83:M88)</f>
        <v>1534.7</v>
      </c>
      <c r="N81" s="28">
        <f t="shared" si="97"/>
        <v>41163.5</v>
      </c>
      <c r="O81" s="29">
        <f>SUM(O83:O88)</f>
        <v>33166.800000000003</v>
      </c>
      <c r="P81" s="29">
        <f>SUM(P83:P88)</f>
        <v>7996.7</v>
      </c>
      <c r="Q81" s="29">
        <f>SUM(Q83:Q88)</f>
        <v>0</v>
      </c>
      <c r="R81" s="28">
        <f t="shared" si="98"/>
        <v>372944.2</v>
      </c>
      <c r="S81" s="29">
        <f>SUM(S83:S88)</f>
        <v>173868.4</v>
      </c>
      <c r="T81" s="29">
        <f>SUM(T83:T88)</f>
        <v>199075.8</v>
      </c>
      <c r="U81" s="29">
        <f>SUM(U83:U88)</f>
        <v>0</v>
      </c>
      <c r="V81" s="30">
        <f t="shared" si="48"/>
        <v>0.89100000000000001</v>
      </c>
      <c r="W81" s="31" t="s">
        <v>357</v>
      </c>
      <c r="X81" s="2"/>
    </row>
    <row r="82" spans="1:24" ht="18.75">
      <c r="A82" s="42"/>
      <c r="B82" s="43" t="s">
        <v>15</v>
      </c>
      <c r="C82" s="33"/>
      <c r="D82" s="33"/>
      <c r="E82" s="33"/>
      <c r="F82" s="28"/>
      <c r="G82" s="29"/>
      <c r="H82" s="29"/>
      <c r="I82" s="29"/>
      <c r="J82" s="28"/>
      <c r="K82" s="29"/>
      <c r="L82" s="29"/>
      <c r="M82" s="29"/>
      <c r="N82" s="28"/>
      <c r="O82" s="29"/>
      <c r="P82" s="29"/>
      <c r="Q82" s="29"/>
      <c r="R82" s="28"/>
      <c r="S82" s="29"/>
      <c r="T82" s="29"/>
      <c r="U82" s="29"/>
      <c r="V82" s="30"/>
      <c r="W82" s="2"/>
      <c r="X82" s="2"/>
    </row>
    <row r="83" spans="1:24" ht="75" customHeight="1">
      <c r="A83" s="42"/>
      <c r="B83" s="44" t="s">
        <v>171</v>
      </c>
      <c r="C83" s="37">
        <v>821</v>
      </c>
      <c r="D83" s="38" t="s">
        <v>19</v>
      </c>
      <c r="E83" s="71" t="s">
        <v>172</v>
      </c>
      <c r="F83" s="28">
        <f t="shared" si="47"/>
        <v>11438.6</v>
      </c>
      <c r="G83" s="34">
        <v>278</v>
      </c>
      <c r="H83" s="34">
        <v>8957.5</v>
      </c>
      <c r="I83" s="34">
        <v>2203.1</v>
      </c>
      <c r="J83" s="28">
        <f t="shared" ref="J83:J89" si="99">K83+L83+M83</f>
        <v>7968.2</v>
      </c>
      <c r="K83" s="34">
        <f>11.9+9.3+37.7+134.7</f>
        <v>193.6</v>
      </c>
      <c r="L83" s="34">
        <f>384.3+298.6+1213.7+4343.3</f>
        <v>6239.9</v>
      </c>
      <c r="M83" s="34">
        <v>1534.7</v>
      </c>
      <c r="N83" s="28">
        <f t="shared" ref="N83:N89" si="100">O83+P83+Q83</f>
        <v>8244.1</v>
      </c>
      <c r="O83" s="34">
        <v>247.4</v>
      </c>
      <c r="P83" s="34">
        <v>7996.7</v>
      </c>
      <c r="Q83" s="34"/>
      <c r="R83" s="28">
        <f t="shared" ref="R83:R89" si="101">S83+T83+U83</f>
        <v>8088</v>
      </c>
      <c r="S83" s="34">
        <v>242.7</v>
      </c>
      <c r="T83" s="34">
        <v>7845.3</v>
      </c>
      <c r="U83" s="34"/>
      <c r="V83" s="35">
        <f t="shared" si="48"/>
        <v>0.69699999999999995</v>
      </c>
      <c r="W83" s="2"/>
      <c r="X83" s="2"/>
    </row>
    <row r="84" spans="1:24" ht="70.5" customHeight="1">
      <c r="A84" s="42"/>
      <c r="B84" s="44" t="s">
        <v>176</v>
      </c>
      <c r="C84" s="37">
        <v>815</v>
      </c>
      <c r="D84" s="38" t="s">
        <v>50</v>
      </c>
      <c r="E84" s="71" t="s">
        <v>175</v>
      </c>
      <c r="F84" s="28">
        <f t="shared" si="47"/>
        <v>81397.899999999994</v>
      </c>
      <c r="G84" s="34">
        <v>2441.9</v>
      </c>
      <c r="H84" s="34">
        <v>78956</v>
      </c>
      <c r="I84" s="34"/>
      <c r="J84" s="28">
        <f t="shared" si="99"/>
        <v>79996.2</v>
      </c>
      <c r="K84" s="34">
        <f>37.6+1694.8+374.2+203.2+90.1</f>
        <v>2399.9</v>
      </c>
      <c r="L84" s="34">
        <f>1217.1+54798.3+12100.4+6568.7+2911.8</f>
        <v>77596.3</v>
      </c>
      <c r="M84" s="34"/>
      <c r="N84" s="28">
        <f t="shared" si="100"/>
        <v>0</v>
      </c>
      <c r="O84" s="34"/>
      <c r="P84" s="34"/>
      <c r="Q84" s="34"/>
      <c r="R84" s="28">
        <f t="shared" si="101"/>
        <v>0</v>
      </c>
      <c r="S84" s="34"/>
      <c r="T84" s="34"/>
      <c r="U84" s="34"/>
      <c r="V84" s="35">
        <f t="shared" si="48"/>
        <v>0.98299999999999998</v>
      </c>
      <c r="W84" s="2"/>
      <c r="X84" s="2"/>
    </row>
    <row r="85" spans="1:24" ht="38.25" customHeight="1">
      <c r="A85" s="42"/>
      <c r="B85" s="44" t="s">
        <v>58</v>
      </c>
      <c r="C85" s="37">
        <v>815</v>
      </c>
      <c r="D85" s="38" t="s">
        <v>50</v>
      </c>
      <c r="E85" s="71" t="s">
        <v>222</v>
      </c>
      <c r="F85" s="28">
        <f t="shared" si="47"/>
        <v>7000</v>
      </c>
      <c r="G85" s="34">
        <v>7000</v>
      </c>
      <c r="H85" s="34"/>
      <c r="I85" s="34"/>
      <c r="J85" s="28">
        <f t="shared" si="99"/>
        <v>2100</v>
      </c>
      <c r="K85" s="34">
        <f>300+1800</f>
        <v>2100</v>
      </c>
      <c r="L85" s="34"/>
      <c r="M85" s="34"/>
      <c r="N85" s="28">
        <f t="shared" si="100"/>
        <v>7000</v>
      </c>
      <c r="O85" s="34">
        <v>7000</v>
      </c>
      <c r="P85" s="34"/>
      <c r="Q85" s="34"/>
      <c r="R85" s="28">
        <f t="shared" si="101"/>
        <v>348757.8</v>
      </c>
      <c r="S85" s="34">
        <v>157527.29999999999</v>
      </c>
      <c r="T85" s="34">
        <v>191230.5</v>
      </c>
      <c r="U85" s="34"/>
      <c r="V85" s="35">
        <f t="shared" si="48"/>
        <v>0.3</v>
      </c>
      <c r="W85" s="2"/>
      <c r="X85" s="2"/>
    </row>
    <row r="86" spans="1:24" ht="39" customHeight="1">
      <c r="A86" s="42"/>
      <c r="B86" s="44" t="s">
        <v>59</v>
      </c>
      <c r="C86" s="37">
        <v>815</v>
      </c>
      <c r="D86" s="38" t="s">
        <v>50</v>
      </c>
      <c r="E86" s="42" t="s">
        <v>244</v>
      </c>
      <c r="F86" s="28">
        <f t="shared" si="47"/>
        <v>6000</v>
      </c>
      <c r="G86" s="34">
        <v>6000</v>
      </c>
      <c r="H86" s="34"/>
      <c r="I86" s="34"/>
      <c r="J86" s="28">
        <f t="shared" si="99"/>
        <v>6000</v>
      </c>
      <c r="K86" s="34">
        <v>6000</v>
      </c>
      <c r="L86" s="34"/>
      <c r="M86" s="34"/>
      <c r="N86" s="28">
        <f t="shared" si="100"/>
        <v>6000</v>
      </c>
      <c r="O86" s="34">
        <v>6000</v>
      </c>
      <c r="P86" s="34"/>
      <c r="Q86" s="34"/>
      <c r="R86" s="28">
        <f t="shared" si="101"/>
        <v>0</v>
      </c>
      <c r="S86" s="34"/>
      <c r="T86" s="34"/>
      <c r="U86" s="34"/>
      <c r="V86" s="35">
        <f t="shared" si="48"/>
        <v>1</v>
      </c>
      <c r="W86" s="2"/>
      <c r="X86" s="2"/>
    </row>
    <row r="87" spans="1:24" ht="66">
      <c r="A87" s="42"/>
      <c r="B87" s="44" t="s">
        <v>245</v>
      </c>
      <c r="C87" s="37">
        <v>815</v>
      </c>
      <c r="D87" s="38" t="s">
        <v>50</v>
      </c>
      <c r="E87" s="42" t="s">
        <v>246</v>
      </c>
      <c r="F87" s="28">
        <f t="shared" si="47"/>
        <v>3821</v>
      </c>
      <c r="G87" s="34">
        <v>3821</v>
      </c>
      <c r="H87" s="34"/>
      <c r="I87" s="34"/>
      <c r="J87" s="28">
        <f t="shared" si="99"/>
        <v>3821</v>
      </c>
      <c r="K87" s="34">
        <v>3821</v>
      </c>
      <c r="L87" s="34"/>
      <c r="M87" s="34"/>
      <c r="N87" s="28">
        <f t="shared" si="100"/>
        <v>3821</v>
      </c>
      <c r="O87" s="34">
        <v>3821</v>
      </c>
      <c r="P87" s="34"/>
      <c r="Q87" s="34"/>
      <c r="R87" s="28">
        <f t="shared" si="101"/>
        <v>0</v>
      </c>
      <c r="S87" s="34"/>
      <c r="T87" s="34"/>
      <c r="U87" s="34"/>
      <c r="V87" s="35">
        <f t="shared" si="48"/>
        <v>1</v>
      </c>
      <c r="W87" s="2"/>
      <c r="X87" s="2"/>
    </row>
    <row r="88" spans="1:24" ht="34.5" customHeight="1">
      <c r="A88" s="42"/>
      <c r="B88" s="44" t="s">
        <v>174</v>
      </c>
      <c r="C88" s="37">
        <v>815</v>
      </c>
      <c r="D88" s="38" t="s">
        <v>50</v>
      </c>
      <c r="E88" s="42" t="s">
        <v>173</v>
      </c>
      <c r="F88" s="28">
        <f t="shared" si="47"/>
        <v>16104.4</v>
      </c>
      <c r="G88" s="34">
        <v>16104.4</v>
      </c>
      <c r="H88" s="34"/>
      <c r="I88" s="34"/>
      <c r="J88" s="28">
        <f t="shared" si="99"/>
        <v>12203.6</v>
      </c>
      <c r="K88" s="34">
        <v>12203.6</v>
      </c>
      <c r="L88" s="34"/>
      <c r="M88" s="34"/>
      <c r="N88" s="28">
        <f t="shared" si="100"/>
        <v>16098.4</v>
      </c>
      <c r="O88" s="34">
        <v>16098.4</v>
      </c>
      <c r="P88" s="34"/>
      <c r="Q88" s="34"/>
      <c r="R88" s="28">
        <f t="shared" si="101"/>
        <v>16098.4</v>
      </c>
      <c r="S88" s="34">
        <v>16098.4</v>
      </c>
      <c r="T88" s="34"/>
      <c r="U88" s="34"/>
      <c r="V88" s="35">
        <f t="shared" si="48"/>
        <v>0.75800000000000001</v>
      </c>
      <c r="W88" s="2"/>
      <c r="X88" s="2"/>
    </row>
    <row r="89" spans="1:24" ht="66">
      <c r="A89" s="12" t="s">
        <v>60</v>
      </c>
      <c r="B89" s="26" t="s">
        <v>61</v>
      </c>
      <c r="C89" s="40" t="s">
        <v>12</v>
      </c>
      <c r="D89" s="40" t="s">
        <v>12</v>
      </c>
      <c r="E89" s="40" t="s">
        <v>12</v>
      </c>
      <c r="F89" s="28">
        <f t="shared" si="47"/>
        <v>65398</v>
      </c>
      <c r="G89" s="29">
        <f t="shared" ref="G89:H89" si="102">SUM(G91:G96)</f>
        <v>65398</v>
      </c>
      <c r="H89" s="29">
        <f t="shared" si="102"/>
        <v>0</v>
      </c>
      <c r="I89" s="29">
        <f t="shared" ref="I89" si="103">SUM(I91:I96)</f>
        <v>0</v>
      </c>
      <c r="J89" s="29">
        <f t="shared" si="99"/>
        <v>51449.4</v>
      </c>
      <c r="K89" s="29">
        <f t="shared" ref="K89:M89" si="104">SUM(K91:K96)</f>
        <v>51449.4</v>
      </c>
      <c r="L89" s="29">
        <f t="shared" si="104"/>
        <v>0</v>
      </c>
      <c r="M89" s="29">
        <f t="shared" si="104"/>
        <v>0</v>
      </c>
      <c r="N89" s="28">
        <f t="shared" si="100"/>
        <v>44170</v>
      </c>
      <c r="O89" s="29">
        <f t="shared" ref="O89:T89" si="105">SUM(O91:O96)</f>
        <v>44170</v>
      </c>
      <c r="P89" s="29">
        <f t="shared" si="105"/>
        <v>0</v>
      </c>
      <c r="Q89" s="29">
        <f t="shared" si="105"/>
        <v>0</v>
      </c>
      <c r="R89" s="28">
        <f t="shared" si="101"/>
        <v>44170</v>
      </c>
      <c r="S89" s="29">
        <f t="shared" si="105"/>
        <v>44170</v>
      </c>
      <c r="T89" s="29">
        <f t="shared" si="105"/>
        <v>0</v>
      </c>
      <c r="U89" s="29">
        <f t="shared" ref="U89" si="106">SUM(U91:U96)</f>
        <v>0</v>
      </c>
      <c r="V89" s="30">
        <f t="shared" si="48"/>
        <v>0.78700000000000003</v>
      </c>
      <c r="W89" s="50" t="s">
        <v>358</v>
      </c>
      <c r="X89" s="2"/>
    </row>
    <row r="90" spans="1:24" ht="18.75">
      <c r="A90" s="15"/>
      <c r="B90" s="32" t="s">
        <v>15</v>
      </c>
      <c r="C90" s="67"/>
      <c r="D90" s="67"/>
      <c r="E90" s="67"/>
      <c r="F90" s="28"/>
      <c r="G90" s="29"/>
      <c r="H90" s="29"/>
      <c r="I90" s="29"/>
      <c r="J90" s="28"/>
      <c r="K90" s="29"/>
      <c r="L90" s="29"/>
      <c r="M90" s="29"/>
      <c r="N90" s="28"/>
      <c r="O90" s="29"/>
      <c r="P90" s="29"/>
      <c r="Q90" s="29"/>
      <c r="R90" s="28"/>
      <c r="S90" s="29"/>
      <c r="T90" s="29"/>
      <c r="U90" s="29"/>
      <c r="V90" s="30"/>
      <c r="W90" s="2"/>
      <c r="X90" s="2"/>
    </row>
    <row r="91" spans="1:24" ht="82.5">
      <c r="A91" s="42"/>
      <c r="B91" s="44" t="s">
        <v>225</v>
      </c>
      <c r="C91" s="37">
        <v>816</v>
      </c>
      <c r="D91" s="38" t="s">
        <v>53</v>
      </c>
      <c r="E91" s="37" t="s">
        <v>224</v>
      </c>
      <c r="F91" s="28">
        <f t="shared" si="47"/>
        <v>0</v>
      </c>
      <c r="G91" s="34">
        <f>16630-16630</f>
        <v>0</v>
      </c>
      <c r="H91" s="34"/>
      <c r="I91" s="34"/>
      <c r="J91" s="28">
        <f t="shared" ref="J91:J96" si="107">K91+L91+M91</f>
        <v>0</v>
      </c>
      <c r="K91" s="34"/>
      <c r="L91" s="34"/>
      <c r="M91" s="34"/>
      <c r="N91" s="28">
        <f t="shared" ref="N91:N96" si="108">O91+P91+Q91</f>
        <v>0</v>
      </c>
      <c r="O91" s="34">
        <f>16630-16630</f>
        <v>0</v>
      </c>
      <c r="P91" s="34"/>
      <c r="Q91" s="34"/>
      <c r="R91" s="28">
        <f t="shared" ref="R91:R96" si="109">S91+T91+U91</f>
        <v>0</v>
      </c>
      <c r="S91" s="34">
        <f>16630-16630</f>
        <v>0</v>
      </c>
      <c r="T91" s="34"/>
      <c r="U91" s="34"/>
      <c r="V91" s="35" t="e">
        <f t="shared" si="48"/>
        <v>#DIV/0!</v>
      </c>
      <c r="W91" s="2"/>
      <c r="X91" s="2"/>
    </row>
    <row r="92" spans="1:24" ht="42" customHeight="1">
      <c r="A92" s="42"/>
      <c r="B92" s="44" t="s">
        <v>63</v>
      </c>
      <c r="C92" s="37">
        <v>816</v>
      </c>
      <c r="D92" s="38" t="s">
        <v>53</v>
      </c>
      <c r="E92" s="71" t="s">
        <v>232</v>
      </c>
      <c r="F92" s="28">
        <f t="shared" si="47"/>
        <v>45240</v>
      </c>
      <c r="G92" s="34">
        <v>45240</v>
      </c>
      <c r="H92" s="34"/>
      <c r="I92" s="34"/>
      <c r="J92" s="28">
        <f t="shared" si="107"/>
        <v>32200</v>
      </c>
      <c r="K92" s="34">
        <f>17000+3800+3800+3800+3800</f>
        <v>32200</v>
      </c>
      <c r="L92" s="34"/>
      <c r="M92" s="34"/>
      <c r="N92" s="28">
        <f t="shared" si="108"/>
        <v>33000</v>
      </c>
      <c r="O92" s="34">
        <v>33000</v>
      </c>
      <c r="P92" s="34"/>
      <c r="Q92" s="34"/>
      <c r="R92" s="28">
        <f t="shared" si="109"/>
        <v>33000</v>
      </c>
      <c r="S92" s="34">
        <v>33000</v>
      </c>
      <c r="T92" s="34"/>
      <c r="U92" s="34"/>
      <c r="V92" s="35">
        <f t="shared" si="48"/>
        <v>0.71199999999999997</v>
      </c>
      <c r="W92" s="2"/>
      <c r="X92" s="2"/>
    </row>
    <row r="93" spans="1:24" ht="66">
      <c r="A93" s="42"/>
      <c r="B93" s="44" t="s">
        <v>62</v>
      </c>
      <c r="C93" s="37">
        <v>816</v>
      </c>
      <c r="D93" s="38" t="s">
        <v>53</v>
      </c>
      <c r="E93" s="71" t="s">
        <v>226</v>
      </c>
      <c r="F93" s="28">
        <f t="shared" si="47"/>
        <v>11170</v>
      </c>
      <c r="G93" s="34">
        <v>11170</v>
      </c>
      <c r="H93" s="34"/>
      <c r="I93" s="34"/>
      <c r="J93" s="28">
        <f t="shared" si="107"/>
        <v>10261.4</v>
      </c>
      <c r="K93" s="34">
        <f>3432.6+1697.4+1688.6+2284.2+1158.6</f>
        <v>10261.4</v>
      </c>
      <c r="L93" s="34"/>
      <c r="M93" s="34"/>
      <c r="N93" s="28">
        <f t="shared" si="108"/>
        <v>0</v>
      </c>
      <c r="O93" s="34"/>
      <c r="P93" s="34"/>
      <c r="Q93" s="34"/>
      <c r="R93" s="28">
        <f t="shared" si="109"/>
        <v>0</v>
      </c>
      <c r="S93" s="34"/>
      <c r="T93" s="34"/>
      <c r="U93" s="34"/>
      <c r="V93" s="35">
        <f t="shared" si="48"/>
        <v>0.91900000000000004</v>
      </c>
      <c r="W93" s="2"/>
      <c r="X93" s="2"/>
    </row>
    <row r="94" spans="1:24" ht="72" customHeight="1">
      <c r="A94" s="42"/>
      <c r="B94" s="44" t="s">
        <v>64</v>
      </c>
      <c r="C94" s="37">
        <v>816</v>
      </c>
      <c r="D94" s="38" t="s">
        <v>53</v>
      </c>
      <c r="E94" s="71" t="s">
        <v>227</v>
      </c>
      <c r="F94" s="28">
        <f t="shared" si="47"/>
        <v>8988</v>
      </c>
      <c r="G94" s="34">
        <f>11170-2182</f>
        <v>8988</v>
      </c>
      <c r="H94" s="34"/>
      <c r="I94" s="34"/>
      <c r="J94" s="28">
        <f t="shared" si="107"/>
        <v>8988</v>
      </c>
      <c r="K94" s="34">
        <f>4642.9+4345.1</f>
        <v>8988</v>
      </c>
      <c r="L94" s="34"/>
      <c r="M94" s="34"/>
      <c r="N94" s="28">
        <f t="shared" si="108"/>
        <v>11170</v>
      </c>
      <c r="O94" s="34">
        <v>11170</v>
      </c>
      <c r="P94" s="34"/>
      <c r="Q94" s="34"/>
      <c r="R94" s="28">
        <f t="shared" si="109"/>
        <v>11170</v>
      </c>
      <c r="S94" s="34">
        <v>11170</v>
      </c>
      <c r="T94" s="34"/>
      <c r="U94" s="34"/>
      <c r="V94" s="35">
        <f t="shared" si="48"/>
        <v>1</v>
      </c>
      <c r="W94" s="2"/>
      <c r="X94" s="2"/>
    </row>
    <row r="95" spans="1:24" ht="86.25" customHeight="1">
      <c r="A95" s="42"/>
      <c r="B95" s="56" t="s">
        <v>65</v>
      </c>
      <c r="C95" s="37">
        <v>816</v>
      </c>
      <c r="D95" s="38" t="s">
        <v>53</v>
      </c>
      <c r="E95" s="71" t="s">
        <v>223</v>
      </c>
      <c r="F95" s="28">
        <f t="shared" si="47"/>
        <v>0</v>
      </c>
      <c r="G95" s="34">
        <f>20-20</f>
        <v>0</v>
      </c>
      <c r="H95" s="34"/>
      <c r="I95" s="34"/>
      <c r="J95" s="28">
        <f t="shared" si="107"/>
        <v>0</v>
      </c>
      <c r="K95" s="34"/>
      <c r="L95" s="34"/>
      <c r="M95" s="34"/>
      <c r="N95" s="28">
        <f t="shared" si="108"/>
        <v>0</v>
      </c>
      <c r="O95" s="34">
        <f>20-20</f>
        <v>0</v>
      </c>
      <c r="P95" s="34"/>
      <c r="Q95" s="34"/>
      <c r="R95" s="28">
        <f t="shared" si="109"/>
        <v>0</v>
      </c>
      <c r="S95" s="34">
        <f>20-20</f>
        <v>0</v>
      </c>
      <c r="T95" s="34"/>
      <c r="U95" s="34"/>
      <c r="V95" s="35" t="e">
        <f t="shared" si="48"/>
        <v>#DIV/0!</v>
      </c>
      <c r="W95" s="2"/>
      <c r="X95" s="2"/>
    </row>
    <row r="96" spans="1:24" ht="63.75" customHeight="1">
      <c r="A96" s="42"/>
      <c r="B96" s="56" t="s">
        <v>66</v>
      </c>
      <c r="C96" s="37">
        <v>816</v>
      </c>
      <c r="D96" s="38" t="s">
        <v>53</v>
      </c>
      <c r="E96" s="71" t="s">
        <v>228</v>
      </c>
      <c r="F96" s="28">
        <f t="shared" ref="F96:F137" si="110">G96+H96+I96</f>
        <v>0</v>
      </c>
      <c r="G96" s="34">
        <v>0</v>
      </c>
      <c r="H96" s="34"/>
      <c r="I96" s="34"/>
      <c r="J96" s="28">
        <f t="shared" si="107"/>
        <v>0</v>
      </c>
      <c r="K96" s="34"/>
      <c r="L96" s="34"/>
      <c r="M96" s="34"/>
      <c r="N96" s="28">
        <f t="shared" si="108"/>
        <v>0</v>
      </c>
      <c r="O96" s="34"/>
      <c r="P96" s="34"/>
      <c r="Q96" s="34"/>
      <c r="R96" s="28">
        <f t="shared" si="109"/>
        <v>0</v>
      </c>
      <c r="S96" s="34"/>
      <c r="T96" s="34"/>
      <c r="U96" s="34"/>
      <c r="V96" s="35"/>
      <c r="W96" s="2"/>
      <c r="X96" s="2"/>
    </row>
    <row r="97" spans="1:24" ht="28.5" customHeight="1">
      <c r="A97" s="20" t="s">
        <v>67</v>
      </c>
      <c r="B97" s="72" t="s">
        <v>68</v>
      </c>
      <c r="C97" s="22" t="s">
        <v>12</v>
      </c>
      <c r="D97" s="22" t="s">
        <v>12</v>
      </c>
      <c r="E97" s="22" t="s">
        <v>12</v>
      </c>
      <c r="F97" s="53">
        <f t="shared" si="110"/>
        <v>43951.8</v>
      </c>
      <c r="G97" s="53">
        <f>G98+G101+G105+G109+G115</f>
        <v>23620.3</v>
      </c>
      <c r="H97" s="53">
        <f>H98+H101+H105+H109+H115</f>
        <v>20331.5</v>
      </c>
      <c r="I97" s="53">
        <f>I98+I101+I105+I109+I115</f>
        <v>0</v>
      </c>
      <c r="J97" s="53">
        <f t="shared" ref="J97:J98" si="111">K97+L97+M97</f>
        <v>24607.4</v>
      </c>
      <c r="K97" s="53">
        <f>K98+K101+K105+K109+K115</f>
        <v>4942.3</v>
      </c>
      <c r="L97" s="53">
        <f>L98+L101+L105+L109+L115</f>
        <v>19665.099999999999</v>
      </c>
      <c r="M97" s="53">
        <f>M98+M101+M105+M109+M115</f>
        <v>0</v>
      </c>
      <c r="N97" s="53">
        <f t="shared" ref="N97:N98" si="112">O97+P97+Q97</f>
        <v>50781.4</v>
      </c>
      <c r="O97" s="53">
        <f>O98+O101+O105+O109+O115</f>
        <v>16311.1</v>
      </c>
      <c r="P97" s="53">
        <f>P98+P101+P105+P109+P115</f>
        <v>34470.300000000003</v>
      </c>
      <c r="Q97" s="53">
        <f>Q98+Q101+Q105+Q109+Q115</f>
        <v>0</v>
      </c>
      <c r="R97" s="53">
        <f t="shared" ref="R97:R98" si="113">S97+T97+U97</f>
        <v>88625.8</v>
      </c>
      <c r="S97" s="53">
        <f>S98+S101+S105+S109+S115</f>
        <v>15451</v>
      </c>
      <c r="T97" s="53">
        <f>T98+T101+T105+T109+T115</f>
        <v>73174.8</v>
      </c>
      <c r="U97" s="53">
        <f>U98+U101+U105+U109+U115</f>
        <v>0</v>
      </c>
      <c r="V97" s="54">
        <f t="shared" ref="V97:V137" si="114">J97/F97</f>
        <v>0.56000000000000005</v>
      </c>
      <c r="W97" s="2"/>
      <c r="X97" s="2"/>
    </row>
    <row r="98" spans="1:24" ht="33">
      <c r="A98" s="12" t="s">
        <v>69</v>
      </c>
      <c r="B98" s="26" t="s">
        <v>70</v>
      </c>
      <c r="C98" s="40" t="s">
        <v>12</v>
      </c>
      <c r="D98" s="40" t="s">
        <v>12</v>
      </c>
      <c r="E98" s="40" t="s">
        <v>12</v>
      </c>
      <c r="F98" s="29">
        <f t="shared" si="110"/>
        <v>122.4</v>
      </c>
      <c r="G98" s="29">
        <f>SUM(G100:G100)</f>
        <v>122.4</v>
      </c>
      <c r="H98" s="29">
        <f>SUM(H100:H100)</f>
        <v>0</v>
      </c>
      <c r="I98" s="29">
        <f>SUM(I100:I100)</f>
        <v>0</v>
      </c>
      <c r="J98" s="29">
        <f t="shared" si="111"/>
        <v>122.4</v>
      </c>
      <c r="K98" s="29">
        <f>SUM(K100:K100)</f>
        <v>122.4</v>
      </c>
      <c r="L98" s="29">
        <f>SUM(L100:L100)</f>
        <v>0</v>
      </c>
      <c r="M98" s="29">
        <f>SUM(M100:M100)</f>
        <v>0</v>
      </c>
      <c r="N98" s="28">
        <f t="shared" si="112"/>
        <v>0</v>
      </c>
      <c r="O98" s="29">
        <f>SUM(O100:O100)</f>
        <v>0</v>
      </c>
      <c r="P98" s="29">
        <f>SUM(P100:P100)</f>
        <v>0</v>
      </c>
      <c r="Q98" s="29">
        <f>SUM(Q100:Q100)</f>
        <v>0</v>
      </c>
      <c r="R98" s="28">
        <f t="shared" si="113"/>
        <v>0</v>
      </c>
      <c r="S98" s="29">
        <f>SUM(S100:S100)</f>
        <v>0</v>
      </c>
      <c r="T98" s="29">
        <f>SUM(T100:T100)</f>
        <v>0</v>
      </c>
      <c r="U98" s="29">
        <f>SUM(U100:U100)</f>
        <v>0</v>
      </c>
      <c r="V98" s="41">
        <f t="shared" si="114"/>
        <v>1</v>
      </c>
      <c r="W98" s="31" t="s">
        <v>359</v>
      </c>
      <c r="X98" s="2"/>
    </row>
    <row r="99" spans="1:24" ht="18.75">
      <c r="A99" s="25"/>
      <c r="B99" s="73" t="s">
        <v>15</v>
      </c>
      <c r="C99" s="74"/>
      <c r="D99" s="74"/>
      <c r="E99" s="74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41"/>
      <c r="W99" s="2"/>
      <c r="X99" s="2"/>
    </row>
    <row r="100" spans="1:24" ht="129" customHeight="1">
      <c r="A100" s="42"/>
      <c r="B100" s="44" t="s">
        <v>253</v>
      </c>
      <c r="C100" s="37">
        <v>815</v>
      </c>
      <c r="D100" s="38" t="s">
        <v>50</v>
      </c>
      <c r="E100" s="71" t="s">
        <v>254</v>
      </c>
      <c r="F100" s="28">
        <f t="shared" si="110"/>
        <v>122.4</v>
      </c>
      <c r="G100" s="34">
        <v>122.4</v>
      </c>
      <c r="H100" s="34"/>
      <c r="I100" s="34"/>
      <c r="J100" s="28">
        <f t="shared" ref="J100:J101" si="115">K100+L100+M100</f>
        <v>122.4</v>
      </c>
      <c r="K100" s="34">
        <v>122.4</v>
      </c>
      <c r="L100" s="34"/>
      <c r="M100" s="34"/>
      <c r="N100" s="29">
        <f t="shared" ref="N100:N101" si="116">O100+P100+Q100</f>
        <v>0</v>
      </c>
      <c r="O100" s="34"/>
      <c r="P100" s="34"/>
      <c r="Q100" s="34"/>
      <c r="R100" s="29">
        <f t="shared" ref="R100:R101" si="117">S100+T100+U100</f>
        <v>0</v>
      </c>
      <c r="S100" s="34"/>
      <c r="T100" s="34"/>
      <c r="U100" s="34"/>
      <c r="V100" s="75">
        <f t="shared" si="114"/>
        <v>1</v>
      </c>
      <c r="W100" s="2"/>
      <c r="X100" s="2"/>
    </row>
    <row r="101" spans="1:24" ht="18.75">
      <c r="A101" s="25" t="s">
        <v>71</v>
      </c>
      <c r="B101" s="57" t="s">
        <v>72</v>
      </c>
      <c r="C101" s="74" t="s">
        <v>12</v>
      </c>
      <c r="D101" s="74" t="s">
        <v>12</v>
      </c>
      <c r="E101" s="74" t="s">
        <v>12</v>
      </c>
      <c r="F101" s="28">
        <f t="shared" si="110"/>
        <v>6000</v>
      </c>
      <c r="G101" s="29">
        <f>SUM(G103:G104)</f>
        <v>6000</v>
      </c>
      <c r="H101" s="29">
        <f t="shared" ref="H101:I101" si="118">SUM(H103:H104)</f>
        <v>0</v>
      </c>
      <c r="I101" s="29">
        <f t="shared" si="118"/>
        <v>0</v>
      </c>
      <c r="J101" s="28">
        <f t="shared" si="115"/>
        <v>0</v>
      </c>
      <c r="K101" s="29">
        <f>SUM(K103:K104)</f>
        <v>0</v>
      </c>
      <c r="L101" s="29">
        <f t="shared" ref="L101:M101" si="119">SUM(L103:L104)</f>
        <v>0</v>
      </c>
      <c r="M101" s="29">
        <f t="shared" si="119"/>
        <v>0</v>
      </c>
      <c r="N101" s="29">
        <f t="shared" si="116"/>
        <v>0</v>
      </c>
      <c r="O101" s="29">
        <f>SUM(O103:O104)</f>
        <v>0</v>
      </c>
      <c r="P101" s="29">
        <f t="shared" ref="P101:Q101" si="120">SUM(P103:P104)</f>
        <v>0</v>
      </c>
      <c r="Q101" s="29">
        <f t="shared" si="120"/>
        <v>0</v>
      </c>
      <c r="R101" s="29">
        <f t="shared" si="117"/>
        <v>0</v>
      </c>
      <c r="S101" s="29">
        <f>SUM(S104:S104)</f>
        <v>0</v>
      </c>
      <c r="T101" s="29">
        <f>SUM(T104:T104)</f>
        <v>0</v>
      </c>
      <c r="U101" s="29">
        <f>SUM(U104:U104)</f>
        <v>0</v>
      </c>
      <c r="V101" s="41">
        <f t="shared" si="114"/>
        <v>0</v>
      </c>
      <c r="W101" s="76" t="s">
        <v>360</v>
      </c>
      <c r="X101" s="2"/>
    </row>
    <row r="102" spans="1:24" ht="18.75">
      <c r="A102" s="42"/>
      <c r="B102" s="73" t="s">
        <v>15</v>
      </c>
      <c r="C102" s="33"/>
      <c r="D102" s="45"/>
      <c r="E102" s="77"/>
      <c r="F102" s="28"/>
      <c r="G102" s="29"/>
      <c r="H102" s="29"/>
      <c r="I102" s="29"/>
      <c r="J102" s="28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41"/>
      <c r="W102" s="2"/>
      <c r="X102" s="2"/>
    </row>
    <row r="103" spans="1:24" ht="47.25" customHeight="1">
      <c r="A103" s="42"/>
      <c r="B103" s="44" t="s">
        <v>387</v>
      </c>
      <c r="C103" s="37">
        <v>827</v>
      </c>
      <c r="D103" s="38" t="s">
        <v>389</v>
      </c>
      <c r="E103" s="71" t="s">
        <v>388</v>
      </c>
      <c r="F103" s="28">
        <f t="shared" ref="F103" si="121">G103+H103+I103</f>
        <v>6000</v>
      </c>
      <c r="G103" s="34">
        <f>6000</f>
        <v>6000</v>
      </c>
      <c r="H103" s="34"/>
      <c r="I103" s="34"/>
      <c r="J103" s="28">
        <f t="shared" ref="J103" si="122">K103+L103+M103</f>
        <v>0</v>
      </c>
      <c r="K103" s="34"/>
      <c r="L103" s="34"/>
      <c r="M103" s="34"/>
      <c r="N103" s="29">
        <f t="shared" ref="N103" si="123">O103+P103+Q103</f>
        <v>0</v>
      </c>
      <c r="O103" s="34"/>
      <c r="P103" s="34"/>
      <c r="Q103" s="34"/>
      <c r="R103" s="29">
        <f t="shared" ref="R103" si="124">S103+T103+U103</f>
        <v>0</v>
      </c>
      <c r="S103" s="34"/>
      <c r="T103" s="34"/>
      <c r="U103" s="34"/>
      <c r="V103" s="75">
        <f t="shared" ref="V103" si="125">J103/F103</f>
        <v>0</v>
      </c>
      <c r="W103" s="2"/>
      <c r="X103" s="2"/>
    </row>
    <row r="104" spans="1:24" ht="66">
      <c r="A104" s="42"/>
      <c r="B104" s="44" t="s">
        <v>73</v>
      </c>
      <c r="C104" s="37">
        <v>840</v>
      </c>
      <c r="D104" s="38" t="s">
        <v>74</v>
      </c>
      <c r="E104" s="71" t="s">
        <v>237</v>
      </c>
      <c r="F104" s="28">
        <f t="shared" si="110"/>
        <v>0</v>
      </c>
      <c r="G104" s="34">
        <f>20000-14000-6000</f>
        <v>0</v>
      </c>
      <c r="H104" s="34"/>
      <c r="I104" s="34"/>
      <c r="J104" s="28">
        <f t="shared" ref="J104:J105" si="126">K104+L104+M104</f>
        <v>0</v>
      </c>
      <c r="K104" s="34"/>
      <c r="L104" s="34"/>
      <c r="M104" s="34"/>
      <c r="N104" s="29">
        <f t="shared" ref="N104:N105" si="127">O104+P104+Q104</f>
        <v>0</v>
      </c>
      <c r="O104" s="34"/>
      <c r="P104" s="34"/>
      <c r="Q104" s="34"/>
      <c r="R104" s="29">
        <f t="shared" ref="R104:R105" si="128">S104+T104+U104</f>
        <v>0</v>
      </c>
      <c r="S104" s="34"/>
      <c r="T104" s="34"/>
      <c r="U104" s="34"/>
      <c r="V104" s="75" t="e">
        <f t="shared" si="114"/>
        <v>#DIV/0!</v>
      </c>
      <c r="W104" s="2"/>
      <c r="X104" s="2"/>
    </row>
    <row r="105" spans="1:24" ht="33">
      <c r="A105" s="25" t="s">
        <v>75</v>
      </c>
      <c r="B105" s="57" t="s">
        <v>76</v>
      </c>
      <c r="C105" s="27" t="s">
        <v>12</v>
      </c>
      <c r="D105" s="27" t="s">
        <v>12</v>
      </c>
      <c r="E105" s="27" t="s">
        <v>12</v>
      </c>
      <c r="F105" s="28">
        <f t="shared" si="110"/>
        <v>0</v>
      </c>
      <c r="G105" s="29">
        <f>SUM(G107:G108)</f>
        <v>0</v>
      </c>
      <c r="H105" s="29">
        <f>SUM(H107:H108)</f>
        <v>0</v>
      </c>
      <c r="I105" s="29">
        <f>SUM(I107:I108)</f>
        <v>0</v>
      </c>
      <c r="J105" s="28">
        <f t="shared" si="126"/>
        <v>0</v>
      </c>
      <c r="K105" s="29">
        <f>SUM(K107:K108)</f>
        <v>0</v>
      </c>
      <c r="L105" s="29">
        <f>SUM(L107:L108)</f>
        <v>0</v>
      </c>
      <c r="M105" s="29">
        <f>SUM(M107:M108)</f>
        <v>0</v>
      </c>
      <c r="N105" s="29">
        <f t="shared" si="127"/>
        <v>0</v>
      </c>
      <c r="O105" s="29">
        <f>SUM(O107:O108)</f>
        <v>0</v>
      </c>
      <c r="P105" s="29">
        <f>SUM(P107:P108)</f>
        <v>0</v>
      </c>
      <c r="Q105" s="29">
        <f>SUM(Q107:Q108)</f>
        <v>0</v>
      </c>
      <c r="R105" s="29">
        <f t="shared" si="128"/>
        <v>0</v>
      </c>
      <c r="S105" s="29">
        <f>SUM(S107:S108)</f>
        <v>0</v>
      </c>
      <c r="T105" s="29">
        <f>SUM(T107:T108)</f>
        <v>0</v>
      </c>
      <c r="U105" s="29">
        <f>SUM(U107:U108)</f>
        <v>0</v>
      </c>
      <c r="V105" s="41"/>
      <c r="W105" s="76" t="s">
        <v>361</v>
      </c>
      <c r="X105" s="2"/>
    </row>
    <row r="106" spans="1:24" ht="18.75">
      <c r="A106" s="42"/>
      <c r="B106" s="73" t="s">
        <v>15</v>
      </c>
      <c r="C106" s="33"/>
      <c r="D106" s="45"/>
      <c r="E106" s="77"/>
      <c r="F106" s="28"/>
      <c r="G106" s="29"/>
      <c r="H106" s="29"/>
      <c r="I106" s="29"/>
      <c r="J106" s="28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41"/>
      <c r="W106" s="2"/>
      <c r="X106" s="2"/>
    </row>
    <row r="107" spans="1:24" ht="49.5">
      <c r="A107" s="42"/>
      <c r="B107" s="44" t="s">
        <v>209</v>
      </c>
      <c r="C107" s="37">
        <v>804</v>
      </c>
      <c r="D107" s="38" t="s">
        <v>77</v>
      </c>
      <c r="E107" s="42" t="s">
        <v>208</v>
      </c>
      <c r="F107" s="28">
        <f t="shared" si="110"/>
        <v>0</v>
      </c>
      <c r="G107" s="34"/>
      <c r="H107" s="34"/>
      <c r="I107" s="34"/>
      <c r="J107" s="28">
        <f t="shared" ref="J107:J109" si="129">K107+L107+M107</f>
        <v>0</v>
      </c>
      <c r="K107" s="34"/>
      <c r="L107" s="34"/>
      <c r="M107" s="34"/>
      <c r="N107" s="29">
        <f t="shared" ref="N107:N109" si="130">O107+P107+Q107</f>
        <v>0</v>
      </c>
      <c r="O107" s="34"/>
      <c r="P107" s="34"/>
      <c r="Q107" s="34"/>
      <c r="R107" s="29">
        <f t="shared" ref="R107:R109" si="131">S107+T107+U107</f>
        <v>0</v>
      </c>
      <c r="S107" s="34"/>
      <c r="T107" s="34"/>
      <c r="U107" s="34"/>
      <c r="V107" s="75"/>
      <c r="W107" s="2"/>
      <c r="X107" s="2"/>
    </row>
    <row r="108" spans="1:24" ht="66">
      <c r="A108" s="42"/>
      <c r="B108" s="44" t="s">
        <v>211</v>
      </c>
      <c r="C108" s="37">
        <v>804</v>
      </c>
      <c r="D108" s="38" t="s">
        <v>77</v>
      </c>
      <c r="E108" s="42" t="s">
        <v>210</v>
      </c>
      <c r="F108" s="28">
        <f t="shared" si="110"/>
        <v>0</v>
      </c>
      <c r="G108" s="34"/>
      <c r="H108" s="34"/>
      <c r="I108" s="34"/>
      <c r="J108" s="28">
        <f t="shared" si="129"/>
        <v>0</v>
      </c>
      <c r="K108" s="34"/>
      <c r="L108" s="34"/>
      <c r="M108" s="34"/>
      <c r="N108" s="29">
        <f t="shared" si="130"/>
        <v>0</v>
      </c>
      <c r="O108" s="34"/>
      <c r="P108" s="34"/>
      <c r="Q108" s="34"/>
      <c r="R108" s="29">
        <f t="shared" si="131"/>
        <v>0</v>
      </c>
      <c r="S108" s="34"/>
      <c r="T108" s="34"/>
      <c r="U108" s="34"/>
      <c r="V108" s="75"/>
      <c r="W108" s="2"/>
      <c r="X108" s="2"/>
    </row>
    <row r="109" spans="1:24" ht="33">
      <c r="A109" s="12" t="s">
        <v>78</v>
      </c>
      <c r="B109" s="26" t="s">
        <v>79</v>
      </c>
      <c r="C109" s="40" t="s">
        <v>12</v>
      </c>
      <c r="D109" s="40" t="s">
        <v>12</v>
      </c>
      <c r="E109" s="40" t="s">
        <v>12</v>
      </c>
      <c r="F109" s="29">
        <f t="shared" si="110"/>
        <v>16869.099999999999</v>
      </c>
      <c r="G109" s="29">
        <f>SUM(G111:G114)</f>
        <v>16869.099999999999</v>
      </c>
      <c r="H109" s="29">
        <f>SUM(H111:H114)</f>
        <v>0</v>
      </c>
      <c r="I109" s="29">
        <f>SUM(I111:I114)</f>
        <v>0</v>
      </c>
      <c r="J109" s="29">
        <f t="shared" si="129"/>
        <v>4211.7</v>
      </c>
      <c r="K109" s="29">
        <f>SUM(K111:K114)</f>
        <v>4211.7</v>
      </c>
      <c r="L109" s="29">
        <f>SUM(L111:L114)</f>
        <v>0</v>
      </c>
      <c r="M109" s="29">
        <f>SUM(M111:M114)</f>
        <v>0</v>
      </c>
      <c r="N109" s="28">
        <f t="shared" si="130"/>
        <v>15245</v>
      </c>
      <c r="O109" s="29">
        <f>SUM(O111:O114)</f>
        <v>15245</v>
      </c>
      <c r="P109" s="29">
        <f>SUM(P111:P114)</f>
        <v>0</v>
      </c>
      <c r="Q109" s="29">
        <f>SUM(Q111:Q114)</f>
        <v>0</v>
      </c>
      <c r="R109" s="28">
        <f t="shared" si="131"/>
        <v>15245</v>
      </c>
      <c r="S109" s="29">
        <f>SUM(S111:S114)</f>
        <v>15245</v>
      </c>
      <c r="T109" s="29">
        <f>SUM(T111:T114)</f>
        <v>0</v>
      </c>
      <c r="U109" s="29">
        <f>SUM(U111:U114)</f>
        <v>0</v>
      </c>
      <c r="V109" s="41">
        <f t="shared" si="114"/>
        <v>0.25</v>
      </c>
      <c r="W109" s="76" t="s">
        <v>361</v>
      </c>
      <c r="X109" s="2"/>
    </row>
    <row r="110" spans="1:24" ht="18.75">
      <c r="A110" s="15"/>
      <c r="B110" s="78" t="s">
        <v>15</v>
      </c>
      <c r="C110" s="67"/>
      <c r="D110" s="79"/>
      <c r="E110" s="80"/>
      <c r="F110" s="29"/>
      <c r="G110" s="29"/>
      <c r="H110" s="29"/>
      <c r="I110" s="29"/>
      <c r="J110" s="29"/>
      <c r="K110" s="29"/>
      <c r="L110" s="29"/>
      <c r="M110" s="29"/>
      <c r="N110" s="28"/>
      <c r="O110" s="29"/>
      <c r="P110" s="29"/>
      <c r="Q110" s="29"/>
      <c r="R110" s="28"/>
      <c r="S110" s="29"/>
      <c r="T110" s="29"/>
      <c r="U110" s="29"/>
      <c r="V110" s="41"/>
      <c r="W110" s="2"/>
      <c r="X110" s="2"/>
    </row>
    <row r="111" spans="1:24" ht="66" customHeight="1">
      <c r="A111" s="42"/>
      <c r="B111" s="44" t="s">
        <v>80</v>
      </c>
      <c r="C111" s="37">
        <v>804</v>
      </c>
      <c r="D111" s="38" t="s">
        <v>77</v>
      </c>
      <c r="E111" s="42" t="s">
        <v>206</v>
      </c>
      <c r="F111" s="28">
        <f t="shared" si="110"/>
        <v>1600</v>
      </c>
      <c r="G111" s="34">
        <v>1600</v>
      </c>
      <c r="H111" s="34"/>
      <c r="I111" s="34"/>
      <c r="J111" s="29">
        <f t="shared" ref="J111:J115" si="132">K111+L111+M111</f>
        <v>1041.5999999999999</v>
      </c>
      <c r="K111" s="34">
        <f>517.6+524</f>
        <v>1041.5999999999999</v>
      </c>
      <c r="L111" s="34"/>
      <c r="M111" s="34"/>
      <c r="N111" s="29">
        <f t="shared" ref="N111:N115" si="133">O111+P111+Q111</f>
        <v>1600</v>
      </c>
      <c r="O111" s="34">
        <v>1600</v>
      </c>
      <c r="P111" s="34"/>
      <c r="Q111" s="34"/>
      <c r="R111" s="29">
        <f t="shared" ref="R111:R115" si="134">S111+T111+U111</f>
        <v>1600</v>
      </c>
      <c r="S111" s="34">
        <v>1600</v>
      </c>
      <c r="T111" s="34"/>
      <c r="U111" s="34"/>
      <c r="V111" s="75">
        <f t="shared" si="114"/>
        <v>0.65100000000000002</v>
      </c>
      <c r="W111" s="2"/>
      <c r="X111" s="2"/>
    </row>
    <row r="112" spans="1:24" ht="130.5" customHeight="1">
      <c r="A112" s="42"/>
      <c r="B112" s="44" t="s">
        <v>81</v>
      </c>
      <c r="C112" s="37">
        <v>804</v>
      </c>
      <c r="D112" s="38" t="s">
        <v>77</v>
      </c>
      <c r="E112" s="42" t="s">
        <v>207</v>
      </c>
      <c r="F112" s="28">
        <f t="shared" si="110"/>
        <v>7819</v>
      </c>
      <c r="G112" s="34">
        <v>7819</v>
      </c>
      <c r="H112" s="34"/>
      <c r="I112" s="34"/>
      <c r="J112" s="29">
        <f t="shared" si="132"/>
        <v>0</v>
      </c>
      <c r="K112" s="34"/>
      <c r="L112" s="34"/>
      <c r="M112" s="34"/>
      <c r="N112" s="29">
        <f t="shared" si="133"/>
        <v>7819</v>
      </c>
      <c r="O112" s="34">
        <v>7819</v>
      </c>
      <c r="P112" s="34"/>
      <c r="Q112" s="34"/>
      <c r="R112" s="29">
        <f t="shared" si="134"/>
        <v>7819</v>
      </c>
      <c r="S112" s="34">
        <v>7819</v>
      </c>
      <c r="T112" s="34"/>
      <c r="U112" s="34"/>
      <c r="V112" s="75">
        <f t="shared" si="114"/>
        <v>0</v>
      </c>
      <c r="W112" s="2"/>
      <c r="X112" s="2"/>
    </row>
    <row r="113" spans="1:103" ht="72.75" customHeight="1">
      <c r="A113" s="42"/>
      <c r="B113" s="44" t="s">
        <v>136</v>
      </c>
      <c r="C113" s="37">
        <v>804</v>
      </c>
      <c r="D113" s="38" t="s">
        <v>77</v>
      </c>
      <c r="E113" s="42" t="s">
        <v>205</v>
      </c>
      <c r="F113" s="28">
        <f t="shared" si="110"/>
        <v>4280</v>
      </c>
      <c r="G113" s="34">
        <f>1630+2650</f>
        <v>4280</v>
      </c>
      <c r="H113" s="34"/>
      <c r="I113" s="34"/>
      <c r="J113" s="29">
        <f t="shared" si="132"/>
        <v>0</v>
      </c>
      <c r="K113" s="34"/>
      <c r="L113" s="34"/>
      <c r="M113" s="34"/>
      <c r="N113" s="29">
        <f t="shared" si="133"/>
        <v>1930</v>
      </c>
      <c r="O113" s="34">
        <f>630+1300</f>
        <v>1930</v>
      </c>
      <c r="P113" s="34"/>
      <c r="Q113" s="34"/>
      <c r="R113" s="29">
        <f t="shared" si="134"/>
        <v>1930</v>
      </c>
      <c r="S113" s="34">
        <f>630+1300</f>
        <v>1930</v>
      </c>
      <c r="T113" s="34"/>
      <c r="U113" s="34"/>
      <c r="V113" s="75">
        <f t="shared" si="114"/>
        <v>0</v>
      </c>
      <c r="W113" s="2"/>
      <c r="X113" s="2"/>
    </row>
    <row r="114" spans="1:103" ht="134.25" customHeight="1">
      <c r="A114" s="42"/>
      <c r="B114" s="44" t="s">
        <v>204</v>
      </c>
      <c r="C114" s="37">
        <v>804</v>
      </c>
      <c r="D114" s="38" t="s">
        <v>77</v>
      </c>
      <c r="E114" s="42" t="s">
        <v>203</v>
      </c>
      <c r="F114" s="28">
        <f t="shared" si="110"/>
        <v>3170.1</v>
      </c>
      <c r="G114" s="34">
        <f>3896-725.9</f>
        <v>3170.1</v>
      </c>
      <c r="H114" s="34"/>
      <c r="I114" s="34"/>
      <c r="J114" s="29">
        <f t="shared" si="132"/>
        <v>3170.1</v>
      </c>
      <c r="K114" s="34">
        <f>2831+339.1</f>
        <v>3170.1</v>
      </c>
      <c r="L114" s="34"/>
      <c r="M114" s="34"/>
      <c r="N114" s="29">
        <f t="shared" si="133"/>
        <v>3896</v>
      </c>
      <c r="O114" s="34">
        <v>3896</v>
      </c>
      <c r="P114" s="34"/>
      <c r="Q114" s="34"/>
      <c r="R114" s="29">
        <f t="shared" si="134"/>
        <v>3896</v>
      </c>
      <c r="S114" s="34">
        <v>3896</v>
      </c>
      <c r="T114" s="34"/>
      <c r="U114" s="34"/>
      <c r="V114" s="75">
        <f t="shared" si="114"/>
        <v>1</v>
      </c>
      <c r="W114" s="2"/>
      <c r="X114" s="2"/>
    </row>
    <row r="115" spans="1:103" ht="33">
      <c r="A115" s="25" t="s">
        <v>82</v>
      </c>
      <c r="B115" s="57" t="s">
        <v>83</v>
      </c>
      <c r="C115" s="27" t="s">
        <v>12</v>
      </c>
      <c r="D115" s="27" t="s">
        <v>12</v>
      </c>
      <c r="E115" s="40" t="s">
        <v>12</v>
      </c>
      <c r="F115" s="28">
        <f t="shared" si="110"/>
        <v>20960.3</v>
      </c>
      <c r="G115" s="29">
        <f>SUM(G117:G118)</f>
        <v>628.79999999999995</v>
      </c>
      <c r="H115" s="29">
        <f>SUM(H117:H118)</f>
        <v>20331.5</v>
      </c>
      <c r="I115" s="29">
        <f>SUM(I117:I118)</f>
        <v>0</v>
      </c>
      <c r="J115" s="28">
        <f t="shared" si="132"/>
        <v>20273.3</v>
      </c>
      <c r="K115" s="29">
        <f>SUM(K117:K118)</f>
        <v>608.20000000000005</v>
      </c>
      <c r="L115" s="29">
        <f>SUM(L117:L118)</f>
        <v>19665.099999999999</v>
      </c>
      <c r="M115" s="29">
        <f>SUM(M117:M118)</f>
        <v>0</v>
      </c>
      <c r="N115" s="28">
        <f t="shared" si="133"/>
        <v>35536.400000000001</v>
      </c>
      <c r="O115" s="29">
        <f>SUM(O117:O118)</f>
        <v>1066.0999999999999</v>
      </c>
      <c r="P115" s="29">
        <f>SUM(P117:P118)</f>
        <v>34470.300000000003</v>
      </c>
      <c r="Q115" s="29">
        <f>SUM(Q117:Q118)</f>
        <v>0</v>
      </c>
      <c r="R115" s="28">
        <f t="shared" si="134"/>
        <v>73380.800000000003</v>
      </c>
      <c r="S115" s="29">
        <f>SUM(S117:S118)</f>
        <v>206</v>
      </c>
      <c r="T115" s="29">
        <f>SUM(T117:T118)</f>
        <v>73174.8</v>
      </c>
      <c r="U115" s="29">
        <f>SUM(U117:U118)</f>
        <v>0</v>
      </c>
      <c r="V115" s="30">
        <f t="shared" si="114"/>
        <v>0.96699999999999997</v>
      </c>
      <c r="W115" s="76" t="s">
        <v>362</v>
      </c>
      <c r="X115" s="2"/>
    </row>
    <row r="116" spans="1:103" ht="18.75">
      <c r="A116" s="15"/>
      <c r="B116" s="78" t="s">
        <v>15</v>
      </c>
      <c r="C116" s="67"/>
      <c r="D116" s="79"/>
      <c r="E116" s="81"/>
      <c r="F116" s="29"/>
      <c r="G116" s="29"/>
      <c r="H116" s="29"/>
      <c r="I116" s="29"/>
      <c r="J116" s="29"/>
      <c r="K116" s="29"/>
      <c r="L116" s="29"/>
      <c r="M116" s="29"/>
      <c r="N116" s="28"/>
      <c r="O116" s="29"/>
      <c r="P116" s="29"/>
      <c r="Q116" s="29"/>
      <c r="R116" s="28"/>
      <c r="S116" s="29"/>
      <c r="T116" s="29"/>
      <c r="U116" s="29"/>
      <c r="V116" s="41"/>
      <c r="W116" s="2"/>
      <c r="X116" s="2"/>
    </row>
    <row r="117" spans="1:103" ht="135.75" customHeight="1">
      <c r="A117" s="15"/>
      <c r="B117" s="82" t="s">
        <v>316</v>
      </c>
      <c r="C117" s="37">
        <v>815</v>
      </c>
      <c r="D117" s="38" t="s">
        <v>50</v>
      </c>
      <c r="E117" s="15" t="s">
        <v>317</v>
      </c>
      <c r="F117" s="29">
        <f t="shared" si="110"/>
        <v>0</v>
      </c>
      <c r="G117" s="34"/>
      <c r="H117" s="34"/>
      <c r="I117" s="34"/>
      <c r="J117" s="29">
        <f t="shared" ref="J117:J120" si="135">K117+L117+M117</f>
        <v>0</v>
      </c>
      <c r="K117" s="34"/>
      <c r="L117" s="34"/>
      <c r="M117" s="34"/>
      <c r="N117" s="28">
        <f t="shared" ref="N117:N120" si="136">O117+P117+Q117</f>
        <v>0</v>
      </c>
      <c r="O117" s="34"/>
      <c r="P117" s="34"/>
      <c r="Q117" s="34"/>
      <c r="R117" s="28">
        <f t="shared" ref="R117:R120" si="137">S117+T117+U117</f>
        <v>66512.600000000006</v>
      </c>
      <c r="S117" s="34"/>
      <c r="T117" s="34">
        <v>66512.600000000006</v>
      </c>
      <c r="U117" s="34"/>
      <c r="V117" s="75"/>
      <c r="W117" s="2"/>
      <c r="X117" s="2"/>
    </row>
    <row r="118" spans="1:103" ht="159" customHeight="1">
      <c r="A118" s="15"/>
      <c r="B118" s="82" t="s">
        <v>307</v>
      </c>
      <c r="C118" s="37">
        <v>825</v>
      </c>
      <c r="D118" s="38" t="s">
        <v>319</v>
      </c>
      <c r="E118" s="15" t="s">
        <v>306</v>
      </c>
      <c r="F118" s="28">
        <f t="shared" si="110"/>
        <v>20960.3</v>
      </c>
      <c r="G118" s="34">
        <v>628.79999999999995</v>
      </c>
      <c r="H118" s="34">
        <v>20331.5</v>
      </c>
      <c r="I118" s="34"/>
      <c r="J118" s="29">
        <f t="shared" si="135"/>
        <v>20273.3</v>
      </c>
      <c r="K118" s="34">
        <f>369.3+238.9</f>
        <v>608.20000000000005</v>
      </c>
      <c r="L118" s="34">
        <f>11940.8+7724.3</f>
        <v>19665.099999999999</v>
      </c>
      <c r="M118" s="34"/>
      <c r="N118" s="28">
        <f t="shared" si="136"/>
        <v>35536.400000000001</v>
      </c>
      <c r="O118" s="34">
        <v>1066.0999999999999</v>
      </c>
      <c r="P118" s="34">
        <v>34470.300000000003</v>
      </c>
      <c r="Q118" s="34"/>
      <c r="R118" s="28">
        <f t="shared" si="137"/>
        <v>6868.2</v>
      </c>
      <c r="S118" s="34">
        <v>206</v>
      </c>
      <c r="T118" s="34">
        <v>6662.2</v>
      </c>
      <c r="U118" s="34"/>
      <c r="V118" s="75">
        <f t="shared" si="114"/>
        <v>0.96699999999999997</v>
      </c>
      <c r="W118" s="2"/>
      <c r="X118" s="2"/>
    </row>
    <row r="119" spans="1:103" s="83" customFormat="1" ht="33">
      <c r="A119" s="20" t="s">
        <v>84</v>
      </c>
      <c r="B119" s="72" t="s">
        <v>85</v>
      </c>
      <c r="C119" s="22" t="s">
        <v>12</v>
      </c>
      <c r="D119" s="22" t="s">
        <v>12</v>
      </c>
      <c r="E119" s="22" t="s">
        <v>12</v>
      </c>
      <c r="F119" s="53">
        <f t="shared" si="110"/>
        <v>2735263.6</v>
      </c>
      <c r="G119" s="53">
        <f>G120+G123+G128+G131</f>
        <v>311533.2</v>
      </c>
      <c r="H119" s="53">
        <f>H120+H123+H128+H131</f>
        <v>2155126.5</v>
      </c>
      <c r="I119" s="53">
        <f>I120+I123+I128+I131</f>
        <v>268603.90000000002</v>
      </c>
      <c r="J119" s="53">
        <f t="shared" si="135"/>
        <v>1003123.3</v>
      </c>
      <c r="K119" s="53">
        <f>K120+K123+K128+K131</f>
        <v>86055</v>
      </c>
      <c r="L119" s="53">
        <f>L120+L123+L128+L131</f>
        <v>800616.1</v>
      </c>
      <c r="M119" s="53">
        <f>M120+M123+M128+M131</f>
        <v>116452.2</v>
      </c>
      <c r="N119" s="53">
        <f t="shared" si="136"/>
        <v>1344754.4</v>
      </c>
      <c r="O119" s="53">
        <f>O120+O123+O128+O131</f>
        <v>122928.6</v>
      </c>
      <c r="P119" s="53">
        <f>P120+P123+P128+P131</f>
        <v>1148010.2</v>
      </c>
      <c r="Q119" s="53">
        <f>Q120+Q123+Q128+Q131</f>
        <v>73815.600000000006</v>
      </c>
      <c r="R119" s="53">
        <f t="shared" si="137"/>
        <v>2072825.9</v>
      </c>
      <c r="S119" s="53">
        <f>S120+S123+S128+S131</f>
        <v>71591.3</v>
      </c>
      <c r="T119" s="53">
        <f>T120+T123+T128+T131</f>
        <v>1942951.8</v>
      </c>
      <c r="U119" s="53">
        <f>U120+U123+U128+U131</f>
        <v>58282.8</v>
      </c>
      <c r="V119" s="54">
        <f t="shared" si="114"/>
        <v>0.36699999999999999</v>
      </c>
      <c r="W119" s="2"/>
      <c r="X119" s="2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</row>
    <row r="120" spans="1:103" ht="33">
      <c r="A120" s="12" t="s">
        <v>86</v>
      </c>
      <c r="B120" s="26" t="s">
        <v>87</v>
      </c>
      <c r="C120" s="40" t="s">
        <v>12</v>
      </c>
      <c r="D120" s="40" t="s">
        <v>12</v>
      </c>
      <c r="E120" s="40" t="s">
        <v>12</v>
      </c>
      <c r="F120" s="28">
        <f t="shared" si="110"/>
        <v>401317.1</v>
      </c>
      <c r="G120" s="29">
        <f>SUM(G122:G122)</f>
        <v>11392.2</v>
      </c>
      <c r="H120" s="29">
        <f>SUM(H122:H122)</f>
        <v>368346.9</v>
      </c>
      <c r="I120" s="29">
        <f>SUM(I122:I122)</f>
        <v>21578</v>
      </c>
      <c r="J120" s="28">
        <f t="shared" si="135"/>
        <v>258046.1</v>
      </c>
      <c r="K120" s="29">
        <f>SUM(K122:K122)</f>
        <v>7313.1</v>
      </c>
      <c r="L120" s="29">
        <f>SUM(L122:L122)</f>
        <v>236457.60000000001</v>
      </c>
      <c r="M120" s="29">
        <f>SUM(M122:M122)</f>
        <v>14275.4</v>
      </c>
      <c r="N120" s="28">
        <f t="shared" si="136"/>
        <v>399056</v>
      </c>
      <c r="O120" s="29">
        <f>SUM(O122:O122)</f>
        <v>11229.3</v>
      </c>
      <c r="P120" s="29">
        <f>SUM(P122:P122)</f>
        <v>363080.5</v>
      </c>
      <c r="Q120" s="29">
        <f>SUM(Q122:Q122)</f>
        <v>24746.2</v>
      </c>
      <c r="R120" s="28">
        <f t="shared" si="137"/>
        <v>383406</v>
      </c>
      <c r="S120" s="29">
        <f>SUM(S122:S122)</f>
        <v>11229.3</v>
      </c>
      <c r="T120" s="29">
        <f>SUM(T122:T122)</f>
        <v>363080.5</v>
      </c>
      <c r="U120" s="29">
        <f>SUM(U122:U122)</f>
        <v>9096.2000000000007</v>
      </c>
      <c r="V120" s="41">
        <f t="shared" si="114"/>
        <v>0.64300000000000002</v>
      </c>
      <c r="W120" s="76" t="s">
        <v>363</v>
      </c>
      <c r="X120" s="2"/>
    </row>
    <row r="121" spans="1:103" ht="18.75">
      <c r="A121" s="15"/>
      <c r="B121" s="32" t="s">
        <v>15</v>
      </c>
      <c r="C121" s="67"/>
      <c r="D121" s="67"/>
      <c r="E121" s="67"/>
      <c r="F121" s="28"/>
      <c r="G121" s="29"/>
      <c r="H121" s="29"/>
      <c r="I121" s="29"/>
      <c r="J121" s="28"/>
      <c r="K121" s="29"/>
      <c r="L121" s="29"/>
      <c r="M121" s="29"/>
      <c r="N121" s="28"/>
      <c r="O121" s="29"/>
      <c r="P121" s="29"/>
      <c r="Q121" s="29"/>
      <c r="R121" s="28"/>
      <c r="S121" s="29"/>
      <c r="T121" s="29"/>
      <c r="U121" s="29"/>
      <c r="V121" s="41"/>
      <c r="W121" s="2"/>
      <c r="X121" s="2"/>
    </row>
    <row r="122" spans="1:103" ht="36.75" customHeight="1">
      <c r="A122" s="15"/>
      <c r="B122" s="36" t="s">
        <v>88</v>
      </c>
      <c r="C122" s="68">
        <v>821</v>
      </c>
      <c r="D122" s="69" t="s">
        <v>19</v>
      </c>
      <c r="E122" s="37" t="s">
        <v>193</v>
      </c>
      <c r="F122" s="28">
        <f t="shared" si="110"/>
        <v>401317.1</v>
      </c>
      <c r="G122" s="34">
        <v>11392.2</v>
      </c>
      <c r="H122" s="34">
        <v>368346.9</v>
      </c>
      <c r="I122" s="34">
        <v>21578</v>
      </c>
      <c r="J122" s="28">
        <f t="shared" ref="J122:J123" si="138">K122+L122+M122</f>
        <v>258046.1</v>
      </c>
      <c r="K122" s="34">
        <f>878.9+889.4+1586.5+1524.7+2433.6</f>
        <v>7313.1</v>
      </c>
      <c r="L122" s="34">
        <f>28417.8+28757.7+51297.3+49297.7+78687.1</f>
        <v>236457.60000000001</v>
      </c>
      <c r="M122" s="34">
        <v>14275.4</v>
      </c>
      <c r="N122" s="28">
        <f t="shared" ref="N122:N123" si="139">O122+P122+Q122</f>
        <v>399056</v>
      </c>
      <c r="O122" s="34">
        <v>11229.3</v>
      </c>
      <c r="P122" s="34">
        <v>363080.5</v>
      </c>
      <c r="Q122" s="34">
        <v>24746.2</v>
      </c>
      <c r="R122" s="28">
        <f t="shared" ref="R122:R123" si="140">S122+T122+U122</f>
        <v>383406</v>
      </c>
      <c r="S122" s="34">
        <v>11229.3</v>
      </c>
      <c r="T122" s="34">
        <v>363080.5</v>
      </c>
      <c r="U122" s="34">
        <v>9096.2000000000007</v>
      </c>
      <c r="V122" s="75">
        <f t="shared" si="114"/>
        <v>0.64300000000000002</v>
      </c>
      <c r="W122" s="2"/>
      <c r="X122" s="2"/>
    </row>
    <row r="123" spans="1:103" ht="49.5">
      <c r="A123" s="12" t="s">
        <v>89</v>
      </c>
      <c r="B123" s="26" t="s">
        <v>299</v>
      </c>
      <c r="C123" s="40" t="s">
        <v>12</v>
      </c>
      <c r="D123" s="40" t="s">
        <v>12</v>
      </c>
      <c r="E123" s="40" t="s">
        <v>12</v>
      </c>
      <c r="F123" s="28">
        <f>G123+H123+I123</f>
        <v>1807386.5</v>
      </c>
      <c r="G123" s="29">
        <f>SUM(G125:G127)</f>
        <v>234640.7</v>
      </c>
      <c r="H123" s="29">
        <f>SUM(H125:H127)</f>
        <v>1334645.7</v>
      </c>
      <c r="I123" s="29">
        <v>238100.1</v>
      </c>
      <c r="J123" s="28">
        <f t="shared" si="138"/>
        <v>551781.1</v>
      </c>
      <c r="K123" s="29">
        <f>SUM(K125:K127)</f>
        <v>44514.3</v>
      </c>
      <c r="L123" s="29">
        <f>SUM(L125:L127)</f>
        <v>407500.7</v>
      </c>
      <c r="M123" s="29">
        <v>99766.1</v>
      </c>
      <c r="N123" s="28">
        <f t="shared" si="139"/>
        <v>692404.7</v>
      </c>
      <c r="O123" s="29">
        <f>SUM(O125:O127)</f>
        <v>92945.5</v>
      </c>
      <c r="P123" s="29">
        <f>SUM(P125:P127)</f>
        <v>550389.80000000005</v>
      </c>
      <c r="Q123" s="29">
        <v>49069.4</v>
      </c>
      <c r="R123" s="28">
        <f t="shared" si="140"/>
        <v>1468253.1</v>
      </c>
      <c r="S123" s="29">
        <f>SUM(S125:S127)</f>
        <v>42575.5</v>
      </c>
      <c r="T123" s="29">
        <f>SUM(T125:T127)</f>
        <v>1376608.2</v>
      </c>
      <c r="U123" s="29">
        <v>49069.4</v>
      </c>
      <c r="V123" s="41">
        <f t="shared" si="114"/>
        <v>0.30499999999999999</v>
      </c>
      <c r="W123" s="76" t="s">
        <v>364</v>
      </c>
      <c r="X123" s="2"/>
    </row>
    <row r="124" spans="1:103" ht="18.75">
      <c r="A124" s="12"/>
      <c r="B124" s="78" t="s">
        <v>15</v>
      </c>
      <c r="C124" s="70"/>
      <c r="D124" s="70"/>
      <c r="E124" s="70"/>
      <c r="F124" s="28"/>
      <c r="G124" s="29"/>
      <c r="H124" s="29"/>
      <c r="I124" s="29"/>
      <c r="J124" s="28"/>
      <c r="K124" s="29"/>
      <c r="L124" s="29"/>
      <c r="M124" s="29"/>
      <c r="N124" s="28"/>
      <c r="O124" s="29"/>
      <c r="P124" s="29"/>
      <c r="Q124" s="29"/>
      <c r="R124" s="28"/>
      <c r="S124" s="29"/>
      <c r="T124" s="29"/>
      <c r="U124" s="29"/>
      <c r="V124" s="41"/>
      <c r="W124" s="2"/>
      <c r="X124" s="2"/>
    </row>
    <row r="125" spans="1:103" ht="66">
      <c r="A125" s="12"/>
      <c r="B125" s="36" t="s">
        <v>134</v>
      </c>
      <c r="C125" s="68">
        <v>821</v>
      </c>
      <c r="D125" s="69" t="s">
        <v>19</v>
      </c>
      <c r="E125" s="37" t="s">
        <v>194</v>
      </c>
      <c r="F125" s="28">
        <f t="shared" si="110"/>
        <v>1354329.5</v>
      </c>
      <c r="G125" s="34"/>
      <c r="H125" s="34">
        <f>503521.8+693526.4+137597.5</f>
        <v>1334645.7</v>
      </c>
      <c r="I125" s="34">
        <v>19683.8</v>
      </c>
      <c r="J125" s="28">
        <f t="shared" ref="J125:J128" si="141">K125+L125+M125</f>
        <v>427184.5</v>
      </c>
      <c r="K125" s="34"/>
      <c r="L125" s="34">
        <f>56410.1+83666.1+44047.3+180574.7+42802.5</f>
        <v>407500.7</v>
      </c>
      <c r="M125" s="34">
        <v>19683.8</v>
      </c>
      <c r="N125" s="28">
        <f t="shared" ref="N125:N128" si="142">O125+P125+Q125</f>
        <v>550389.80000000005</v>
      </c>
      <c r="O125" s="34"/>
      <c r="P125" s="34">
        <f>687987.3-137597.5</f>
        <v>550389.80000000005</v>
      </c>
      <c r="Q125" s="34"/>
      <c r="R125" s="28">
        <f t="shared" ref="R125:R128" si="143">S125+T125+U125</f>
        <v>1376608.2</v>
      </c>
      <c r="S125" s="34"/>
      <c r="T125" s="34">
        <v>1376608.2</v>
      </c>
      <c r="U125" s="34"/>
      <c r="V125" s="75">
        <f t="shared" si="114"/>
        <v>0.315</v>
      </c>
      <c r="W125" s="2"/>
      <c r="X125" s="2"/>
    </row>
    <row r="126" spans="1:103" ht="47.25" customHeight="1">
      <c r="A126" s="12"/>
      <c r="B126" s="36" t="s">
        <v>334</v>
      </c>
      <c r="C126" s="68">
        <v>821</v>
      </c>
      <c r="D126" s="69" t="s">
        <v>19</v>
      </c>
      <c r="E126" s="37" t="s">
        <v>333</v>
      </c>
      <c r="F126" s="28">
        <f t="shared" ref="F126" si="144">G126+H126+I126</f>
        <v>3545.5</v>
      </c>
      <c r="G126" s="34">
        <v>3545.5</v>
      </c>
      <c r="H126" s="34"/>
      <c r="I126" s="34"/>
      <c r="J126" s="28">
        <f t="shared" ref="J126" si="145">K126+L126+M126</f>
        <v>3243.3</v>
      </c>
      <c r="K126" s="34">
        <f>2448.5+794.8</f>
        <v>3243.3</v>
      </c>
      <c r="L126" s="34"/>
      <c r="M126" s="34"/>
      <c r="N126" s="28">
        <f t="shared" ref="N126" si="146">O126+P126+Q126</f>
        <v>0</v>
      </c>
      <c r="O126" s="34"/>
      <c r="P126" s="34"/>
      <c r="Q126" s="34"/>
      <c r="R126" s="28">
        <f t="shared" ref="R126" si="147">S126+T126+U126</f>
        <v>0</v>
      </c>
      <c r="S126" s="34"/>
      <c r="T126" s="34"/>
      <c r="U126" s="34"/>
      <c r="V126" s="75">
        <f t="shared" ref="V126" si="148">J126/F126</f>
        <v>0.91500000000000004</v>
      </c>
      <c r="W126" s="2"/>
      <c r="X126" s="2"/>
    </row>
    <row r="127" spans="1:103" ht="44.25" customHeight="1">
      <c r="A127" s="15"/>
      <c r="B127" s="36" t="s">
        <v>135</v>
      </c>
      <c r="C127" s="68">
        <v>821</v>
      </c>
      <c r="D127" s="69" t="s">
        <v>19</v>
      </c>
      <c r="E127" s="68" t="s">
        <v>234</v>
      </c>
      <c r="F127" s="28">
        <f t="shared" si="110"/>
        <v>233276.79999999999</v>
      </c>
      <c r="G127" s="34">
        <f>236948.8-5853.6</f>
        <v>231095.2</v>
      </c>
      <c r="H127" s="34"/>
      <c r="I127" s="34">
        <v>2181.6</v>
      </c>
      <c r="J127" s="28">
        <f t="shared" si="141"/>
        <v>43452.6</v>
      </c>
      <c r="K127" s="34">
        <f>3994.8+37276.2</f>
        <v>41271</v>
      </c>
      <c r="L127" s="34"/>
      <c r="M127" s="34">
        <v>2181.6</v>
      </c>
      <c r="N127" s="28">
        <f t="shared" si="142"/>
        <v>92945.5</v>
      </c>
      <c r="O127" s="34">
        <v>92945.5</v>
      </c>
      <c r="P127" s="34"/>
      <c r="Q127" s="34"/>
      <c r="R127" s="28">
        <f t="shared" si="143"/>
        <v>42575.5</v>
      </c>
      <c r="S127" s="34">
        <v>42575.5</v>
      </c>
      <c r="T127" s="34"/>
      <c r="U127" s="34"/>
      <c r="V127" s="75">
        <f t="shared" si="114"/>
        <v>0.186</v>
      </c>
      <c r="W127" s="2"/>
      <c r="X127" s="2"/>
    </row>
    <row r="128" spans="1:103" ht="27.75" customHeight="1">
      <c r="A128" s="12" t="s">
        <v>297</v>
      </c>
      <c r="B128" s="26" t="s">
        <v>298</v>
      </c>
      <c r="C128" s="70" t="s">
        <v>12</v>
      </c>
      <c r="D128" s="70" t="s">
        <v>12</v>
      </c>
      <c r="E128" s="70" t="s">
        <v>12</v>
      </c>
      <c r="F128" s="28">
        <f t="shared" si="110"/>
        <v>163570.5</v>
      </c>
      <c r="G128" s="29">
        <f t="shared" ref="G128:T128" si="149">G130</f>
        <v>33786.300000000003</v>
      </c>
      <c r="H128" s="29">
        <f t="shared" si="149"/>
        <v>127984.2</v>
      </c>
      <c r="I128" s="29">
        <f t="shared" ref="I128" si="150">I130</f>
        <v>1800</v>
      </c>
      <c r="J128" s="28">
        <f t="shared" si="141"/>
        <v>96048</v>
      </c>
      <c r="K128" s="29">
        <f t="shared" ref="K128:M128" si="151">K130</f>
        <v>19859.3</v>
      </c>
      <c r="L128" s="29">
        <f t="shared" si="151"/>
        <v>75228.2</v>
      </c>
      <c r="M128" s="29">
        <f t="shared" si="151"/>
        <v>960.5</v>
      </c>
      <c r="N128" s="28">
        <f t="shared" si="142"/>
        <v>0</v>
      </c>
      <c r="O128" s="29">
        <f t="shared" si="149"/>
        <v>0</v>
      </c>
      <c r="P128" s="29">
        <f t="shared" si="149"/>
        <v>0</v>
      </c>
      <c r="Q128" s="29">
        <f t="shared" si="149"/>
        <v>0</v>
      </c>
      <c r="R128" s="28">
        <f t="shared" si="143"/>
        <v>0</v>
      </c>
      <c r="S128" s="29">
        <f t="shared" si="149"/>
        <v>0</v>
      </c>
      <c r="T128" s="29">
        <f t="shared" si="149"/>
        <v>0</v>
      </c>
      <c r="U128" s="29">
        <f t="shared" ref="U128" si="152">U130</f>
        <v>0</v>
      </c>
      <c r="V128" s="30">
        <f t="shared" si="114"/>
        <v>0.58699999999999997</v>
      </c>
      <c r="W128" s="76" t="s">
        <v>363</v>
      </c>
      <c r="X128" s="2"/>
    </row>
    <row r="129" spans="1:103" ht="18.75">
      <c r="A129" s="15"/>
      <c r="B129" s="78" t="s">
        <v>15</v>
      </c>
      <c r="C129" s="67"/>
      <c r="D129" s="79"/>
      <c r="E129" s="67"/>
      <c r="F129" s="28"/>
      <c r="G129" s="34"/>
      <c r="H129" s="34"/>
      <c r="I129" s="34"/>
      <c r="J129" s="28"/>
      <c r="K129" s="34"/>
      <c r="L129" s="34"/>
      <c r="M129" s="34"/>
      <c r="N129" s="28"/>
      <c r="O129" s="34"/>
      <c r="P129" s="34"/>
      <c r="Q129" s="34"/>
      <c r="R129" s="28"/>
      <c r="S129" s="34"/>
      <c r="T129" s="34"/>
      <c r="U129" s="34"/>
      <c r="V129" s="75"/>
      <c r="W129" s="2"/>
      <c r="X129" s="2"/>
    </row>
    <row r="130" spans="1:103" ht="44.25" customHeight="1">
      <c r="A130" s="15"/>
      <c r="B130" s="36" t="s">
        <v>300</v>
      </c>
      <c r="C130" s="68">
        <v>821</v>
      </c>
      <c r="D130" s="69" t="s">
        <v>19</v>
      </c>
      <c r="E130" s="68" t="s">
        <v>301</v>
      </c>
      <c r="F130" s="28">
        <f t="shared" si="110"/>
        <v>163570.5</v>
      </c>
      <c r="G130" s="34">
        <v>33786.300000000003</v>
      </c>
      <c r="H130" s="34">
        <v>127984.2</v>
      </c>
      <c r="I130" s="34">
        <v>1800</v>
      </c>
      <c r="J130" s="28">
        <f t="shared" ref="J130:J131" si="153">K130+L130+M130</f>
        <v>96048</v>
      </c>
      <c r="K130" s="34">
        <f>204+8362.9+8833.4+2459</f>
        <v>19859.3</v>
      </c>
      <c r="L130" s="34">
        <f>772.8+31679.1+33461.3+9315</f>
        <v>75228.2</v>
      </c>
      <c r="M130" s="34">
        <v>960.5</v>
      </c>
      <c r="N130" s="28">
        <f t="shared" ref="N130:N131" si="154">O130+P130+Q130</f>
        <v>0</v>
      </c>
      <c r="O130" s="34"/>
      <c r="P130" s="34"/>
      <c r="Q130" s="34"/>
      <c r="R130" s="28">
        <f t="shared" ref="R130:R131" si="155">S130+T130+U130</f>
        <v>0</v>
      </c>
      <c r="S130" s="34"/>
      <c r="T130" s="34"/>
      <c r="U130" s="34"/>
      <c r="V130" s="75">
        <f t="shared" si="114"/>
        <v>0.58699999999999997</v>
      </c>
      <c r="W130" s="2"/>
      <c r="X130" s="2"/>
    </row>
    <row r="131" spans="1:103" ht="18.75">
      <c r="A131" s="12" t="s">
        <v>303</v>
      </c>
      <c r="B131" s="26" t="s">
        <v>99</v>
      </c>
      <c r="C131" s="70" t="s">
        <v>12</v>
      </c>
      <c r="D131" s="70" t="s">
        <v>12</v>
      </c>
      <c r="E131" s="70" t="s">
        <v>12</v>
      </c>
      <c r="F131" s="28">
        <f>G131+H131+I131</f>
        <v>362989.5</v>
      </c>
      <c r="G131" s="29">
        <f>G133+G135+G134</f>
        <v>31714</v>
      </c>
      <c r="H131" s="29">
        <f t="shared" ref="H131:I131" si="156">H133+H135+H134</f>
        <v>324149.7</v>
      </c>
      <c r="I131" s="29">
        <f t="shared" si="156"/>
        <v>7125.8</v>
      </c>
      <c r="J131" s="28">
        <f t="shared" si="153"/>
        <v>97248.1</v>
      </c>
      <c r="K131" s="29">
        <f>K133+K135+K134</f>
        <v>14368.3</v>
      </c>
      <c r="L131" s="29">
        <f t="shared" ref="L131:M131" si="157">L133+L135+L134</f>
        <v>81429.600000000006</v>
      </c>
      <c r="M131" s="29">
        <f t="shared" si="157"/>
        <v>1450.2</v>
      </c>
      <c r="N131" s="28">
        <f t="shared" si="154"/>
        <v>253293.7</v>
      </c>
      <c r="O131" s="29">
        <f>O133+O135+O134</f>
        <v>18753.8</v>
      </c>
      <c r="P131" s="29">
        <f t="shared" ref="P131:Q131" si="158">P133+P135+P134</f>
        <v>234539.9</v>
      </c>
      <c r="Q131" s="29">
        <f t="shared" si="158"/>
        <v>0</v>
      </c>
      <c r="R131" s="28">
        <f t="shared" si="155"/>
        <v>221166.8</v>
      </c>
      <c r="S131" s="29">
        <f>S133+S135+S134</f>
        <v>17786.5</v>
      </c>
      <c r="T131" s="29">
        <f t="shared" ref="T131:U131" si="159">T133+T135+T134</f>
        <v>203263.1</v>
      </c>
      <c r="U131" s="29">
        <f t="shared" si="159"/>
        <v>117.2</v>
      </c>
      <c r="V131" s="30">
        <f t="shared" si="114"/>
        <v>0.26800000000000002</v>
      </c>
      <c r="W131" s="76" t="s">
        <v>364</v>
      </c>
      <c r="X131" s="2"/>
    </row>
    <row r="132" spans="1:103" ht="18.75">
      <c r="A132" s="15"/>
      <c r="B132" s="78" t="s">
        <v>15</v>
      </c>
      <c r="C132" s="33"/>
      <c r="D132" s="45"/>
      <c r="E132" s="67"/>
      <c r="F132" s="28"/>
      <c r="G132" s="34"/>
      <c r="H132" s="34"/>
      <c r="I132" s="34"/>
      <c r="J132" s="28"/>
      <c r="K132" s="34"/>
      <c r="L132" s="34"/>
      <c r="M132" s="34"/>
      <c r="N132" s="28"/>
      <c r="O132" s="34"/>
      <c r="P132" s="34"/>
      <c r="Q132" s="34"/>
      <c r="R132" s="28"/>
      <c r="S132" s="34"/>
      <c r="T132" s="34"/>
      <c r="U132" s="34"/>
      <c r="V132" s="75"/>
      <c r="W132" s="2"/>
      <c r="X132" s="2"/>
    </row>
    <row r="133" spans="1:103" ht="73.5" customHeight="1">
      <c r="A133" s="15"/>
      <c r="B133" s="36" t="s">
        <v>236</v>
      </c>
      <c r="C133" s="68">
        <v>828</v>
      </c>
      <c r="D133" s="69" t="s">
        <v>101</v>
      </c>
      <c r="E133" s="68" t="s">
        <v>305</v>
      </c>
      <c r="F133" s="28">
        <f t="shared" si="110"/>
        <v>11500</v>
      </c>
      <c r="G133" s="34">
        <v>11500</v>
      </c>
      <c r="H133" s="34"/>
      <c r="I133" s="34"/>
      <c r="J133" s="28">
        <f t="shared" ref="J133:J137" si="160">K133+L133+M133</f>
        <v>11500</v>
      </c>
      <c r="K133" s="34">
        <v>11500</v>
      </c>
      <c r="L133" s="34"/>
      <c r="M133" s="34"/>
      <c r="N133" s="28">
        <f t="shared" ref="N133:N137" si="161">O133+P133+Q133</f>
        <v>11500</v>
      </c>
      <c r="O133" s="34">
        <v>11500</v>
      </c>
      <c r="P133" s="34"/>
      <c r="Q133" s="34"/>
      <c r="R133" s="28">
        <f t="shared" ref="R133:R137" si="162">S133+T133+U133</f>
        <v>11500</v>
      </c>
      <c r="S133" s="34">
        <v>11500</v>
      </c>
      <c r="T133" s="34"/>
      <c r="U133" s="34"/>
      <c r="V133" s="75">
        <f t="shared" si="114"/>
        <v>1</v>
      </c>
      <c r="W133" s="2"/>
      <c r="X133" s="2"/>
    </row>
    <row r="134" spans="1:103" ht="51" customHeight="1">
      <c r="A134" s="15"/>
      <c r="B134" s="36" t="s">
        <v>338</v>
      </c>
      <c r="C134" s="68">
        <v>828</v>
      </c>
      <c r="D134" s="69" t="s">
        <v>101</v>
      </c>
      <c r="E134" s="68" t="s">
        <v>337</v>
      </c>
      <c r="F134" s="28">
        <f t="shared" ref="F134" si="163">G134+H134+I134</f>
        <v>15701.6</v>
      </c>
      <c r="G134" s="34">
        <f>12000-1162.1</f>
        <v>10837.9</v>
      </c>
      <c r="H134" s="34"/>
      <c r="I134" s="34">
        <v>4863.7</v>
      </c>
      <c r="J134" s="28">
        <f t="shared" ref="J134" si="164">K134+L134+M134</f>
        <v>1800</v>
      </c>
      <c r="K134" s="34">
        <v>900</v>
      </c>
      <c r="L134" s="34"/>
      <c r="M134" s="34">
        <v>900</v>
      </c>
      <c r="N134" s="28">
        <f t="shared" ref="N134" si="165">O134+P134+Q134</f>
        <v>0</v>
      </c>
      <c r="O134" s="34"/>
      <c r="P134" s="34"/>
      <c r="Q134" s="34"/>
      <c r="R134" s="28">
        <f t="shared" ref="R134" si="166">S134+T134+U134</f>
        <v>0</v>
      </c>
      <c r="S134" s="34"/>
      <c r="T134" s="34"/>
      <c r="U134" s="34"/>
      <c r="V134" s="75">
        <f t="shared" ref="V134" si="167">J134/F134</f>
        <v>0.115</v>
      </c>
      <c r="W134" s="2"/>
      <c r="X134" s="2"/>
    </row>
    <row r="135" spans="1:103" ht="53.25" customHeight="1">
      <c r="A135" s="15"/>
      <c r="B135" s="36" t="s">
        <v>100</v>
      </c>
      <c r="C135" s="68">
        <v>828</v>
      </c>
      <c r="D135" s="69" t="s">
        <v>101</v>
      </c>
      <c r="E135" s="37" t="s">
        <v>304</v>
      </c>
      <c r="F135" s="28">
        <f t="shared" si="110"/>
        <v>335787.9</v>
      </c>
      <c r="G135" s="34">
        <f>17721.6-8345.5</f>
        <v>9376.1</v>
      </c>
      <c r="H135" s="34">
        <v>324149.7</v>
      </c>
      <c r="I135" s="34">
        <v>2262.1</v>
      </c>
      <c r="J135" s="28">
        <f t="shared" si="160"/>
        <v>83948.1</v>
      </c>
      <c r="K135" s="34">
        <f>1951.3+17</f>
        <v>1968.3</v>
      </c>
      <c r="L135" s="34">
        <f>47119.5+223.9+6587.4+26803.1+695.7</f>
        <v>81429.600000000006</v>
      </c>
      <c r="M135" s="34">
        <v>550.20000000000005</v>
      </c>
      <c r="N135" s="28">
        <f t="shared" si="161"/>
        <v>241793.7</v>
      </c>
      <c r="O135" s="34">
        <v>7253.8</v>
      </c>
      <c r="P135" s="34">
        <v>234539.9</v>
      </c>
      <c r="Q135" s="34"/>
      <c r="R135" s="28">
        <f t="shared" si="162"/>
        <v>209666.8</v>
      </c>
      <c r="S135" s="34">
        <v>6286.5</v>
      </c>
      <c r="T135" s="34">
        <v>203263.1</v>
      </c>
      <c r="U135" s="34">
        <v>117.2</v>
      </c>
      <c r="V135" s="75">
        <f t="shared" si="114"/>
        <v>0.25</v>
      </c>
      <c r="W135" s="2"/>
      <c r="X135" s="2"/>
    </row>
    <row r="136" spans="1:103" s="83" customFormat="1" ht="28.5" customHeight="1">
      <c r="A136" s="20" t="s">
        <v>90</v>
      </c>
      <c r="B136" s="21" t="s">
        <v>91</v>
      </c>
      <c r="C136" s="22" t="s">
        <v>12</v>
      </c>
      <c r="D136" s="22" t="s">
        <v>12</v>
      </c>
      <c r="E136" s="22" t="s">
        <v>12</v>
      </c>
      <c r="F136" s="53">
        <f t="shared" si="110"/>
        <v>223898.2</v>
      </c>
      <c r="G136" s="53">
        <f>G137+G143+G147</f>
        <v>19091.900000000001</v>
      </c>
      <c r="H136" s="53">
        <f>H137+H143+H147</f>
        <v>199684.7</v>
      </c>
      <c r="I136" s="53">
        <f>I137+I143+I147</f>
        <v>5121.6000000000004</v>
      </c>
      <c r="J136" s="53">
        <f t="shared" si="160"/>
        <v>163561.70000000001</v>
      </c>
      <c r="K136" s="53">
        <f>K137+K143+K147</f>
        <v>15367.2</v>
      </c>
      <c r="L136" s="53">
        <f>L137+L143+L147</f>
        <v>143824.20000000001</v>
      </c>
      <c r="M136" s="53">
        <f>M137+M143+M147</f>
        <v>4370.3</v>
      </c>
      <c r="N136" s="53">
        <f t="shared" si="161"/>
        <v>118123.7</v>
      </c>
      <c r="O136" s="53">
        <f>O137+O143+O147</f>
        <v>15856.7</v>
      </c>
      <c r="P136" s="53">
        <f>P137+P143+P147</f>
        <v>98240.7</v>
      </c>
      <c r="Q136" s="53">
        <f>Q137+Q143+Q147</f>
        <v>4026.3</v>
      </c>
      <c r="R136" s="53">
        <f t="shared" si="162"/>
        <v>136445</v>
      </c>
      <c r="S136" s="53">
        <f>S137+S143+S147</f>
        <v>13972.2</v>
      </c>
      <c r="T136" s="53">
        <f>T137+T143+T147</f>
        <v>118402.8</v>
      </c>
      <c r="U136" s="53">
        <f>U137+U143+U147</f>
        <v>4070</v>
      </c>
      <c r="V136" s="54">
        <f t="shared" si="114"/>
        <v>0.73099999999999998</v>
      </c>
      <c r="W136" s="2"/>
      <c r="X136" s="2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</row>
    <row r="137" spans="1:103" ht="33">
      <c r="A137" s="12" t="s">
        <v>92</v>
      </c>
      <c r="B137" s="26" t="s">
        <v>93</v>
      </c>
      <c r="C137" s="40" t="s">
        <v>12</v>
      </c>
      <c r="D137" s="40" t="s">
        <v>12</v>
      </c>
      <c r="E137" s="40" t="s">
        <v>12</v>
      </c>
      <c r="F137" s="29">
        <f t="shared" si="110"/>
        <v>124668.6</v>
      </c>
      <c r="G137" s="29">
        <f t="shared" ref="G137:H137" si="168">SUM(G139:G141)</f>
        <v>0</v>
      </c>
      <c r="H137" s="29">
        <f t="shared" si="168"/>
        <v>124668.6</v>
      </c>
      <c r="I137" s="29">
        <f t="shared" ref="I137" si="169">SUM(I139:I141)</f>
        <v>0</v>
      </c>
      <c r="J137" s="29">
        <f t="shared" si="160"/>
        <v>79811.5</v>
      </c>
      <c r="K137" s="29">
        <f t="shared" ref="K137:M137" si="170">SUM(K139:K141)</f>
        <v>0</v>
      </c>
      <c r="L137" s="29">
        <f t="shared" si="170"/>
        <v>79811.5</v>
      </c>
      <c r="M137" s="29">
        <f t="shared" si="170"/>
        <v>0</v>
      </c>
      <c r="N137" s="28">
        <f t="shared" si="161"/>
        <v>16019.4</v>
      </c>
      <c r="O137" s="29">
        <f t="shared" ref="O137:T137" si="171">SUM(O139:O141)</f>
        <v>0</v>
      </c>
      <c r="P137" s="29">
        <f t="shared" si="171"/>
        <v>16019.4</v>
      </c>
      <c r="Q137" s="29">
        <f t="shared" si="171"/>
        <v>0</v>
      </c>
      <c r="R137" s="28">
        <f t="shared" si="162"/>
        <v>10689.4</v>
      </c>
      <c r="S137" s="29">
        <f t="shared" si="171"/>
        <v>0</v>
      </c>
      <c r="T137" s="29">
        <f t="shared" si="171"/>
        <v>10689.4</v>
      </c>
      <c r="U137" s="29">
        <f t="shared" ref="U137" si="172">SUM(U139:U141)</f>
        <v>0</v>
      </c>
      <c r="V137" s="41">
        <f t="shared" si="114"/>
        <v>0.64</v>
      </c>
      <c r="W137" s="76" t="s">
        <v>360</v>
      </c>
      <c r="X137" s="2"/>
    </row>
    <row r="138" spans="1:103" ht="18.75">
      <c r="A138" s="15"/>
      <c r="B138" s="32" t="s">
        <v>15</v>
      </c>
      <c r="C138" s="67"/>
      <c r="D138" s="67"/>
      <c r="E138" s="67"/>
      <c r="F138" s="29"/>
      <c r="G138" s="29"/>
      <c r="H138" s="29"/>
      <c r="I138" s="29"/>
      <c r="J138" s="29"/>
      <c r="K138" s="29"/>
      <c r="L138" s="29"/>
      <c r="M138" s="29"/>
      <c r="N138" s="28"/>
      <c r="O138" s="29"/>
      <c r="P138" s="29"/>
      <c r="Q138" s="29"/>
      <c r="R138" s="28"/>
      <c r="S138" s="29"/>
      <c r="T138" s="29"/>
      <c r="U138" s="29"/>
      <c r="V138" s="41"/>
      <c r="W138" s="2"/>
      <c r="X138" s="2"/>
    </row>
    <row r="139" spans="1:103" ht="33">
      <c r="A139" s="15"/>
      <c r="B139" s="84" t="s">
        <v>94</v>
      </c>
      <c r="C139" s="68">
        <v>838</v>
      </c>
      <c r="D139" s="69" t="s">
        <v>95</v>
      </c>
      <c r="E139" s="68" t="s">
        <v>196</v>
      </c>
      <c r="F139" s="28">
        <f t="shared" ref="F139:F181" si="173">G139+H139+I139</f>
        <v>11116.9</v>
      </c>
      <c r="G139" s="34"/>
      <c r="H139" s="34">
        <v>11116.9</v>
      </c>
      <c r="I139" s="34"/>
      <c r="J139" s="29">
        <f t="shared" ref="J139:J141" si="174">K139+L139+M139</f>
        <v>9700.1</v>
      </c>
      <c r="K139" s="34"/>
      <c r="L139" s="34">
        <f>2034.6+548+596.2+1062.3+5459</f>
        <v>9700.1</v>
      </c>
      <c r="M139" s="34"/>
      <c r="N139" s="28">
        <f t="shared" ref="N139:N141" si="175">O139+P139+Q139</f>
        <v>10546.8</v>
      </c>
      <c r="O139" s="34"/>
      <c r="P139" s="34">
        <v>10546.8</v>
      </c>
      <c r="Q139" s="34"/>
      <c r="R139" s="28">
        <f t="shared" ref="R139:R141" si="176">S139+T139+U139</f>
        <v>10689.4</v>
      </c>
      <c r="S139" s="34"/>
      <c r="T139" s="34">
        <v>10689.4</v>
      </c>
      <c r="U139" s="34"/>
      <c r="V139" s="75">
        <f t="shared" ref="V139:V181" si="177">J139/F139</f>
        <v>0.873</v>
      </c>
      <c r="W139" s="2"/>
      <c r="X139" s="2"/>
    </row>
    <row r="140" spans="1:103" ht="99.75" customHeight="1">
      <c r="A140" s="15"/>
      <c r="B140" s="36" t="s">
        <v>96</v>
      </c>
      <c r="C140" s="68">
        <v>838</v>
      </c>
      <c r="D140" s="69" t="s">
        <v>95</v>
      </c>
      <c r="E140" s="68" t="s">
        <v>197</v>
      </c>
      <c r="F140" s="28">
        <f t="shared" si="173"/>
        <v>14663.7</v>
      </c>
      <c r="G140" s="34"/>
      <c r="H140" s="34">
        <v>14663.7</v>
      </c>
      <c r="I140" s="34"/>
      <c r="J140" s="29">
        <f t="shared" si="174"/>
        <v>2057.8000000000002</v>
      </c>
      <c r="K140" s="34"/>
      <c r="L140" s="34">
        <f>269.7+423.4+654.7+710</f>
        <v>2057.8000000000002</v>
      </c>
      <c r="M140" s="34"/>
      <c r="N140" s="28">
        <f t="shared" si="175"/>
        <v>5472.6</v>
      </c>
      <c r="O140" s="34"/>
      <c r="P140" s="34">
        <v>5472.6</v>
      </c>
      <c r="Q140" s="34"/>
      <c r="R140" s="28">
        <f t="shared" si="176"/>
        <v>0</v>
      </c>
      <c r="S140" s="34"/>
      <c r="T140" s="34"/>
      <c r="U140" s="34"/>
      <c r="V140" s="75">
        <f t="shared" si="177"/>
        <v>0.14000000000000001</v>
      </c>
      <c r="W140" s="2"/>
      <c r="X140" s="2"/>
    </row>
    <row r="141" spans="1:103" ht="90" customHeight="1">
      <c r="A141" s="15"/>
      <c r="B141" s="36" t="s">
        <v>97</v>
      </c>
      <c r="C141" s="68">
        <v>838</v>
      </c>
      <c r="D141" s="69" t="s">
        <v>95</v>
      </c>
      <c r="E141" s="68" t="s">
        <v>198</v>
      </c>
      <c r="F141" s="28">
        <f t="shared" si="173"/>
        <v>98888</v>
      </c>
      <c r="G141" s="34"/>
      <c r="H141" s="34">
        <v>98888</v>
      </c>
      <c r="I141" s="34"/>
      <c r="J141" s="29">
        <f t="shared" si="174"/>
        <v>68053.600000000006</v>
      </c>
      <c r="K141" s="34"/>
      <c r="L141" s="34">
        <f>2329.2+4127.4+31209.2+29411.1+976.7</f>
        <v>68053.600000000006</v>
      </c>
      <c r="M141" s="34"/>
      <c r="N141" s="28">
        <f t="shared" si="175"/>
        <v>0</v>
      </c>
      <c r="O141" s="34"/>
      <c r="P141" s="34"/>
      <c r="Q141" s="34"/>
      <c r="R141" s="28">
        <f t="shared" si="176"/>
        <v>0</v>
      </c>
      <c r="S141" s="34"/>
      <c r="T141" s="34"/>
      <c r="U141" s="34"/>
      <c r="V141" s="75">
        <f t="shared" si="177"/>
        <v>0.68799999999999994</v>
      </c>
      <c r="W141" s="2"/>
      <c r="X141" s="2"/>
    </row>
    <row r="142" spans="1:103" ht="18.75">
      <c r="A142" s="15"/>
      <c r="B142" s="32" t="s">
        <v>15</v>
      </c>
      <c r="C142" s="67"/>
      <c r="D142" s="67"/>
      <c r="E142" s="67"/>
      <c r="F142" s="29"/>
      <c r="G142" s="29"/>
      <c r="H142" s="29"/>
      <c r="I142" s="29"/>
      <c r="J142" s="29"/>
      <c r="K142" s="29"/>
      <c r="L142" s="29"/>
      <c r="M142" s="29"/>
      <c r="N142" s="28"/>
      <c r="O142" s="29"/>
      <c r="P142" s="29"/>
      <c r="Q142" s="29"/>
      <c r="R142" s="28"/>
      <c r="S142" s="29"/>
      <c r="T142" s="29"/>
      <c r="U142" s="29"/>
      <c r="V142" s="41"/>
      <c r="W142" s="2"/>
      <c r="X142" s="2"/>
    </row>
    <row r="143" spans="1:103" ht="38.25" customHeight="1">
      <c r="A143" s="12" t="s">
        <v>98</v>
      </c>
      <c r="B143" s="26" t="s">
        <v>104</v>
      </c>
      <c r="C143" s="40" t="s">
        <v>12</v>
      </c>
      <c r="D143" s="40" t="s">
        <v>12</v>
      </c>
      <c r="E143" s="40" t="s">
        <v>12</v>
      </c>
      <c r="F143" s="28">
        <f t="shared" si="173"/>
        <v>3727.2</v>
      </c>
      <c r="G143" s="29">
        <f t="shared" ref="G143:T143" si="178">G146+G145</f>
        <v>3727.2</v>
      </c>
      <c r="H143" s="29">
        <f t="shared" si="178"/>
        <v>0</v>
      </c>
      <c r="I143" s="29">
        <f t="shared" ref="I143" si="179">I146+I145</f>
        <v>0</v>
      </c>
      <c r="J143" s="28">
        <f t="shared" ref="J143" si="180">K143+L143+M143</f>
        <v>2256.1999999999998</v>
      </c>
      <c r="K143" s="29">
        <f t="shared" ref="K143:M143" si="181">K146+K145</f>
        <v>2256.1999999999998</v>
      </c>
      <c r="L143" s="29">
        <f t="shared" si="181"/>
        <v>0</v>
      </c>
      <c r="M143" s="29">
        <f t="shared" si="181"/>
        <v>0</v>
      </c>
      <c r="N143" s="28">
        <f t="shared" ref="N143" si="182">O143+P143+Q143</f>
        <v>7697.2</v>
      </c>
      <c r="O143" s="29">
        <f t="shared" si="178"/>
        <v>4107.2</v>
      </c>
      <c r="P143" s="29">
        <f t="shared" si="178"/>
        <v>3590</v>
      </c>
      <c r="Q143" s="29">
        <f t="shared" si="178"/>
        <v>0</v>
      </c>
      <c r="R143" s="28">
        <f t="shared" ref="R143" si="183">S143+T143+U143</f>
        <v>27762.2</v>
      </c>
      <c r="S143" s="29">
        <f t="shared" si="178"/>
        <v>1762.2</v>
      </c>
      <c r="T143" s="29">
        <f t="shared" si="178"/>
        <v>26000</v>
      </c>
      <c r="U143" s="29">
        <f t="shared" ref="U143" si="184">U146+U145</f>
        <v>0</v>
      </c>
      <c r="V143" s="30">
        <f t="shared" si="177"/>
        <v>0.60499999999999998</v>
      </c>
      <c r="W143" s="76" t="s">
        <v>365</v>
      </c>
      <c r="X143" s="2"/>
    </row>
    <row r="144" spans="1:103" ht="18.75">
      <c r="A144" s="15"/>
      <c r="B144" s="32" t="s">
        <v>15</v>
      </c>
      <c r="C144" s="67"/>
      <c r="D144" s="67"/>
      <c r="E144" s="67"/>
      <c r="F144" s="29"/>
      <c r="G144" s="29"/>
      <c r="H144" s="29"/>
      <c r="I144" s="29"/>
      <c r="J144" s="29"/>
      <c r="K144" s="29"/>
      <c r="L144" s="29"/>
      <c r="M144" s="29"/>
      <c r="N144" s="28"/>
      <c r="O144" s="29"/>
      <c r="P144" s="29"/>
      <c r="Q144" s="29"/>
      <c r="R144" s="28"/>
      <c r="S144" s="29"/>
      <c r="T144" s="29"/>
      <c r="U144" s="29"/>
      <c r="V144" s="41"/>
      <c r="W144" s="2"/>
      <c r="X144" s="2"/>
    </row>
    <row r="145" spans="1:103" ht="49.5">
      <c r="A145" s="15"/>
      <c r="B145" s="36" t="s">
        <v>314</v>
      </c>
      <c r="C145" s="68">
        <v>810</v>
      </c>
      <c r="D145" s="69" t="s">
        <v>103</v>
      </c>
      <c r="E145" s="68" t="s">
        <v>315</v>
      </c>
      <c r="F145" s="29">
        <f t="shared" si="173"/>
        <v>0</v>
      </c>
      <c r="G145" s="29"/>
      <c r="H145" s="29"/>
      <c r="I145" s="29"/>
      <c r="J145" s="29">
        <f t="shared" ref="J145:J147" si="185">K145+L145+M145</f>
        <v>0</v>
      </c>
      <c r="K145" s="29"/>
      <c r="L145" s="29"/>
      <c r="M145" s="29"/>
      <c r="N145" s="28">
        <f t="shared" ref="N145:N147" si="186">O145+P145+Q145</f>
        <v>3590</v>
      </c>
      <c r="O145" s="29"/>
      <c r="P145" s="34">
        <v>3590</v>
      </c>
      <c r="Q145" s="29"/>
      <c r="R145" s="28">
        <f t="shared" ref="R145:R147" si="187">S145+T145+U145</f>
        <v>26000</v>
      </c>
      <c r="S145" s="29"/>
      <c r="T145" s="34">
        <v>26000</v>
      </c>
      <c r="U145" s="34"/>
      <c r="V145" s="41"/>
      <c r="W145" s="2"/>
      <c r="X145" s="2"/>
    </row>
    <row r="146" spans="1:103" ht="54.75" customHeight="1">
      <c r="A146" s="15"/>
      <c r="B146" s="36" t="s">
        <v>105</v>
      </c>
      <c r="C146" s="68">
        <v>810</v>
      </c>
      <c r="D146" s="69" t="s">
        <v>103</v>
      </c>
      <c r="E146" s="68" t="s">
        <v>195</v>
      </c>
      <c r="F146" s="28">
        <f t="shared" si="173"/>
        <v>3727.2</v>
      </c>
      <c r="G146" s="34">
        <f>1762.2+1965</f>
        <v>3727.2</v>
      </c>
      <c r="H146" s="34"/>
      <c r="I146" s="34"/>
      <c r="J146" s="29">
        <f t="shared" si="185"/>
        <v>2256.1999999999998</v>
      </c>
      <c r="K146" s="34">
        <v>2256.1999999999998</v>
      </c>
      <c r="L146" s="34"/>
      <c r="M146" s="34"/>
      <c r="N146" s="28">
        <f t="shared" si="186"/>
        <v>4107.2</v>
      </c>
      <c r="O146" s="34">
        <v>4107.2</v>
      </c>
      <c r="P146" s="34"/>
      <c r="Q146" s="34"/>
      <c r="R146" s="28">
        <f t="shared" si="187"/>
        <v>1762.2</v>
      </c>
      <c r="S146" s="34">
        <v>1762.2</v>
      </c>
      <c r="T146" s="34"/>
      <c r="U146" s="34"/>
      <c r="V146" s="75">
        <f t="shared" si="177"/>
        <v>0.60499999999999998</v>
      </c>
      <c r="W146" s="2"/>
      <c r="X146" s="2"/>
    </row>
    <row r="147" spans="1:103" s="9" customFormat="1" ht="26.25" customHeight="1">
      <c r="A147" s="25" t="s">
        <v>102</v>
      </c>
      <c r="B147" s="57" t="s">
        <v>200</v>
      </c>
      <c r="C147" s="74" t="s">
        <v>12</v>
      </c>
      <c r="D147" s="11" t="s">
        <v>12</v>
      </c>
      <c r="E147" s="74" t="s">
        <v>12</v>
      </c>
      <c r="F147" s="28">
        <f t="shared" si="173"/>
        <v>95502.399999999994</v>
      </c>
      <c r="G147" s="29">
        <f t="shared" ref="G147:H147" si="188">G149</f>
        <v>15364.7</v>
      </c>
      <c r="H147" s="29">
        <f t="shared" si="188"/>
        <v>75016.100000000006</v>
      </c>
      <c r="I147" s="29">
        <f t="shared" ref="I147" si="189">I149</f>
        <v>5121.6000000000004</v>
      </c>
      <c r="J147" s="29">
        <f t="shared" si="185"/>
        <v>81494</v>
      </c>
      <c r="K147" s="29">
        <f t="shared" ref="K147:M147" si="190">K149</f>
        <v>13111</v>
      </c>
      <c r="L147" s="29">
        <f t="shared" si="190"/>
        <v>64012.7</v>
      </c>
      <c r="M147" s="29">
        <f t="shared" si="190"/>
        <v>4370.3</v>
      </c>
      <c r="N147" s="29">
        <f t="shared" si="186"/>
        <v>94407.1</v>
      </c>
      <c r="O147" s="29">
        <f t="shared" ref="O147:T147" si="191">O149</f>
        <v>11749.5</v>
      </c>
      <c r="P147" s="29">
        <f t="shared" si="191"/>
        <v>78631.3</v>
      </c>
      <c r="Q147" s="29">
        <f t="shared" si="191"/>
        <v>4026.3</v>
      </c>
      <c r="R147" s="29">
        <f t="shared" si="187"/>
        <v>97993.4</v>
      </c>
      <c r="S147" s="29">
        <f t="shared" si="191"/>
        <v>12210</v>
      </c>
      <c r="T147" s="29">
        <f t="shared" si="191"/>
        <v>81713.399999999994</v>
      </c>
      <c r="U147" s="29">
        <f t="shared" ref="U147" si="192">U149</f>
        <v>4070</v>
      </c>
      <c r="V147" s="41">
        <f t="shared" si="177"/>
        <v>0.85299999999999998</v>
      </c>
      <c r="W147" s="76" t="s">
        <v>365</v>
      </c>
      <c r="X147" s="2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</row>
    <row r="148" spans="1:103" ht="18.75">
      <c r="A148" s="15"/>
      <c r="B148" s="32" t="s">
        <v>15</v>
      </c>
      <c r="C148" s="67"/>
      <c r="D148" s="79"/>
      <c r="E148" s="67"/>
      <c r="F148" s="28"/>
      <c r="G148" s="29"/>
      <c r="H148" s="29"/>
      <c r="I148" s="29"/>
      <c r="J148" s="29"/>
      <c r="K148" s="29"/>
      <c r="L148" s="29"/>
      <c r="M148" s="29"/>
      <c r="N148" s="28"/>
      <c r="O148" s="29"/>
      <c r="P148" s="29"/>
      <c r="Q148" s="29"/>
      <c r="R148" s="28"/>
      <c r="S148" s="29"/>
      <c r="T148" s="29"/>
      <c r="U148" s="29"/>
      <c r="V148" s="41"/>
      <c r="W148" s="2"/>
      <c r="X148" s="2"/>
    </row>
    <row r="149" spans="1:103" ht="66">
      <c r="A149" s="15"/>
      <c r="B149" s="36" t="s">
        <v>202</v>
      </c>
      <c r="C149" s="68">
        <v>810</v>
      </c>
      <c r="D149" s="69" t="s">
        <v>103</v>
      </c>
      <c r="E149" s="37" t="s">
        <v>201</v>
      </c>
      <c r="F149" s="28">
        <f t="shared" si="173"/>
        <v>95502.399999999994</v>
      </c>
      <c r="G149" s="34">
        <v>15364.7</v>
      </c>
      <c r="H149" s="34">
        <v>75016.100000000006</v>
      </c>
      <c r="I149" s="34">
        <v>5121.6000000000004</v>
      </c>
      <c r="J149" s="29">
        <f t="shared" ref="J149:J151" si="193">K149+L149+M149</f>
        <v>81494</v>
      </c>
      <c r="K149" s="34">
        <f>10857.3+2253.7</f>
        <v>13111</v>
      </c>
      <c r="L149" s="34">
        <f>22006.3+6391.8+24611.4+11003.2</f>
        <v>64012.7</v>
      </c>
      <c r="M149" s="34">
        <v>4370.3</v>
      </c>
      <c r="N149" s="28">
        <f t="shared" ref="N149:N151" si="194">O149+P149+Q149</f>
        <v>94407.1</v>
      </c>
      <c r="O149" s="34">
        <v>11749.5</v>
      </c>
      <c r="P149" s="34">
        <v>78631.3</v>
      </c>
      <c r="Q149" s="34">
        <v>4026.3</v>
      </c>
      <c r="R149" s="28">
        <f t="shared" ref="R149:R151" si="195">S149+T149+U149</f>
        <v>97993.4</v>
      </c>
      <c r="S149" s="34">
        <v>12210</v>
      </c>
      <c r="T149" s="34">
        <v>81713.399999999994</v>
      </c>
      <c r="U149" s="34">
        <v>4070</v>
      </c>
      <c r="V149" s="75">
        <f t="shared" si="177"/>
        <v>0.85299999999999998</v>
      </c>
      <c r="W149" s="2"/>
      <c r="X149" s="2"/>
    </row>
    <row r="150" spans="1:103" s="83" customFormat="1" ht="39" customHeight="1">
      <c r="A150" s="20" t="s">
        <v>106</v>
      </c>
      <c r="B150" s="72" t="s">
        <v>107</v>
      </c>
      <c r="C150" s="22" t="s">
        <v>12</v>
      </c>
      <c r="D150" s="22" t="s">
        <v>12</v>
      </c>
      <c r="E150" s="22" t="s">
        <v>12</v>
      </c>
      <c r="F150" s="53">
        <f t="shared" si="173"/>
        <v>4463983.7</v>
      </c>
      <c r="G150" s="53">
        <f>G151+G160+G154</f>
        <v>3488283.7</v>
      </c>
      <c r="H150" s="53">
        <f>H151+H160+H154</f>
        <v>680000</v>
      </c>
      <c r="I150" s="53">
        <f>I151+I160+I154</f>
        <v>295700</v>
      </c>
      <c r="J150" s="53">
        <f t="shared" si="193"/>
        <v>2776287</v>
      </c>
      <c r="K150" s="53">
        <f>K151+K160+K154</f>
        <v>2227168.7000000002</v>
      </c>
      <c r="L150" s="53">
        <f>L151+L160+L154</f>
        <v>410300.7</v>
      </c>
      <c r="M150" s="53">
        <f>M151+M160+M154</f>
        <v>138817.60000000001</v>
      </c>
      <c r="N150" s="53">
        <f t="shared" si="194"/>
        <v>4328611.8</v>
      </c>
      <c r="O150" s="53">
        <f>O151+O160+O154</f>
        <v>4158611.8</v>
      </c>
      <c r="P150" s="53">
        <f>P151+P160+P154</f>
        <v>120000</v>
      </c>
      <c r="Q150" s="53">
        <f>Q151+Q160+Q154</f>
        <v>50000</v>
      </c>
      <c r="R150" s="53">
        <f t="shared" si="195"/>
        <v>5643476.5</v>
      </c>
      <c r="S150" s="53">
        <f>S151+S160+S154</f>
        <v>5473476.5</v>
      </c>
      <c r="T150" s="53">
        <f>T151+T160+T154</f>
        <v>120000</v>
      </c>
      <c r="U150" s="53">
        <f>U151+U160+U154</f>
        <v>50000</v>
      </c>
      <c r="V150" s="54">
        <f t="shared" si="177"/>
        <v>0.622</v>
      </c>
      <c r="W150" s="2"/>
      <c r="X150" s="2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</row>
    <row r="151" spans="1:103" ht="26.25" customHeight="1">
      <c r="A151" s="12" t="s">
        <v>108</v>
      </c>
      <c r="B151" s="26" t="s">
        <v>109</v>
      </c>
      <c r="C151" s="70" t="s">
        <v>12</v>
      </c>
      <c r="D151" s="70" t="s">
        <v>12</v>
      </c>
      <c r="E151" s="70" t="s">
        <v>12</v>
      </c>
      <c r="F151" s="28">
        <f t="shared" si="173"/>
        <v>4234057.8</v>
      </c>
      <c r="G151" s="29">
        <f>SUM(G153:G153)</f>
        <v>3258357.8</v>
      </c>
      <c r="H151" s="29">
        <f>SUM(H153:H153)</f>
        <v>680000</v>
      </c>
      <c r="I151" s="29">
        <f>SUM(I153:I153)</f>
        <v>295700</v>
      </c>
      <c r="J151" s="28">
        <f t="shared" si="193"/>
        <v>2643927.7000000002</v>
      </c>
      <c r="K151" s="29">
        <f>SUM(K153:K153)</f>
        <v>2094809.4</v>
      </c>
      <c r="L151" s="29">
        <f>SUM(L153:L153)</f>
        <v>410300.7</v>
      </c>
      <c r="M151" s="29">
        <f>SUM(M153:M153)</f>
        <v>138817.60000000001</v>
      </c>
      <c r="N151" s="28">
        <f t="shared" si="194"/>
        <v>4002583.4</v>
      </c>
      <c r="O151" s="29">
        <f>SUM(O153:O153)</f>
        <v>3952583.4</v>
      </c>
      <c r="P151" s="29">
        <f>SUM(P153:P153)</f>
        <v>0</v>
      </c>
      <c r="Q151" s="29">
        <f>SUM(Q153:Q153)</f>
        <v>50000</v>
      </c>
      <c r="R151" s="28">
        <f t="shared" si="195"/>
        <v>5325896.5</v>
      </c>
      <c r="S151" s="29">
        <f>SUM(S153:S153)</f>
        <v>5275896.5</v>
      </c>
      <c r="T151" s="29">
        <f>SUM(T153:T153)</f>
        <v>0</v>
      </c>
      <c r="U151" s="29">
        <f>SUM(U153:U153)</f>
        <v>50000</v>
      </c>
      <c r="V151" s="30">
        <f t="shared" si="177"/>
        <v>0.624</v>
      </c>
      <c r="W151" s="76" t="s">
        <v>366</v>
      </c>
      <c r="X151" s="2"/>
    </row>
    <row r="152" spans="1:103" ht="18.75">
      <c r="A152" s="15"/>
      <c r="B152" s="32" t="s">
        <v>15</v>
      </c>
      <c r="C152" s="67"/>
      <c r="D152" s="67"/>
      <c r="E152" s="67"/>
      <c r="F152" s="29"/>
      <c r="G152" s="29"/>
      <c r="H152" s="29"/>
      <c r="I152" s="29"/>
      <c r="J152" s="29"/>
      <c r="K152" s="29"/>
      <c r="L152" s="29"/>
      <c r="M152" s="29"/>
      <c r="N152" s="28"/>
      <c r="O152" s="29"/>
      <c r="P152" s="29"/>
      <c r="Q152" s="29"/>
      <c r="R152" s="28"/>
      <c r="S152" s="29"/>
      <c r="T152" s="29"/>
      <c r="U152" s="29"/>
      <c r="V152" s="41"/>
      <c r="W152" s="2"/>
      <c r="X152" s="2"/>
    </row>
    <row r="153" spans="1:103" ht="66">
      <c r="A153" s="15"/>
      <c r="B153" s="36" t="s">
        <v>110</v>
      </c>
      <c r="C153" s="68">
        <v>822</v>
      </c>
      <c r="D153" s="69" t="s">
        <v>111</v>
      </c>
      <c r="E153" s="37" t="s">
        <v>199</v>
      </c>
      <c r="F153" s="28">
        <f t="shared" si="173"/>
        <v>4234057.8</v>
      </c>
      <c r="G153" s="34">
        <f>3422994.8-156147-10490+2000</f>
        <v>3258357.8</v>
      </c>
      <c r="H153" s="34">
        <f>340000+340000</f>
        <v>680000</v>
      </c>
      <c r="I153" s="34">
        <v>295700</v>
      </c>
      <c r="J153" s="29">
        <f t="shared" ref="J153:J154" si="196">K153+L153+M153</f>
        <v>2643927.7000000002</v>
      </c>
      <c r="K153" s="34">
        <f>794340.9+368357.8+334309.1+597801.6</f>
        <v>2094809.4</v>
      </c>
      <c r="L153" s="34">
        <f>49792.8+54538+235877.3+70092.6</f>
        <v>410300.7</v>
      </c>
      <c r="M153" s="34">
        <v>138817.60000000001</v>
      </c>
      <c r="N153" s="28">
        <f t="shared" ref="N153:N154" si="197">O153+P153+Q153</f>
        <v>4002583.4</v>
      </c>
      <c r="O153" s="34">
        <f>4361196.1-182612.7-226000</f>
        <v>3952583.4</v>
      </c>
      <c r="P153" s="34"/>
      <c r="Q153" s="34">
        <v>50000</v>
      </c>
      <c r="R153" s="28">
        <f t="shared" ref="R153:R154" si="198">S153+T153+U153</f>
        <v>5325896.5</v>
      </c>
      <c r="S153" s="34">
        <f>5271513.2+82859.5-78476.2</f>
        <v>5275896.5</v>
      </c>
      <c r="T153" s="34"/>
      <c r="U153" s="34">
        <v>50000</v>
      </c>
      <c r="V153" s="75">
        <f t="shared" si="177"/>
        <v>0.624</v>
      </c>
      <c r="W153" s="2"/>
      <c r="X153" s="2"/>
    </row>
    <row r="154" spans="1:103" ht="36.75" customHeight="1">
      <c r="A154" s="12" t="s">
        <v>239</v>
      </c>
      <c r="B154" s="26" t="s">
        <v>250</v>
      </c>
      <c r="C154" s="40" t="s">
        <v>12</v>
      </c>
      <c r="D154" s="40" t="s">
        <v>12</v>
      </c>
      <c r="E154" s="40" t="s">
        <v>12</v>
      </c>
      <c r="F154" s="28">
        <f t="shared" si="173"/>
        <v>180127</v>
      </c>
      <c r="G154" s="29">
        <f>SUM(G156:G159)</f>
        <v>180127</v>
      </c>
      <c r="H154" s="29">
        <f>SUM(H156:H159)</f>
        <v>0</v>
      </c>
      <c r="I154" s="29">
        <f>SUM(I156:I159)</f>
        <v>0</v>
      </c>
      <c r="J154" s="28">
        <f t="shared" si="196"/>
        <v>113560.4</v>
      </c>
      <c r="K154" s="29">
        <f>SUM(K156:K159)</f>
        <v>113560.4</v>
      </c>
      <c r="L154" s="29">
        <f>SUM(L156:L159)</f>
        <v>0</v>
      </c>
      <c r="M154" s="29">
        <f>SUM(M156:M159)</f>
        <v>0</v>
      </c>
      <c r="N154" s="28">
        <f t="shared" si="197"/>
        <v>152278.39999999999</v>
      </c>
      <c r="O154" s="29">
        <f>SUM(O156:O159)</f>
        <v>152278.39999999999</v>
      </c>
      <c r="P154" s="29">
        <f>SUM(P156:P159)</f>
        <v>0</v>
      </c>
      <c r="Q154" s="29">
        <f>SUM(Q156:Q159)</f>
        <v>0</v>
      </c>
      <c r="R154" s="28">
        <f t="shared" si="198"/>
        <v>157580</v>
      </c>
      <c r="S154" s="29">
        <f>SUM(S156:S159)</f>
        <v>157580</v>
      </c>
      <c r="T154" s="29">
        <f>SUM(T156:T159)</f>
        <v>0</v>
      </c>
      <c r="U154" s="29">
        <f>SUM(U156:U159)</f>
        <v>0</v>
      </c>
      <c r="V154" s="30">
        <f t="shared" si="177"/>
        <v>0.63</v>
      </c>
      <c r="W154" s="76" t="s">
        <v>367</v>
      </c>
      <c r="X154" s="2"/>
    </row>
    <row r="155" spans="1:103" ht="18.75">
      <c r="A155" s="15"/>
      <c r="B155" s="32" t="s">
        <v>15</v>
      </c>
      <c r="C155" s="67"/>
      <c r="D155" s="67"/>
      <c r="E155" s="67"/>
      <c r="F155" s="29"/>
      <c r="G155" s="34"/>
      <c r="H155" s="34"/>
      <c r="I155" s="34"/>
      <c r="J155" s="29"/>
      <c r="K155" s="34"/>
      <c r="L155" s="34"/>
      <c r="M155" s="34"/>
      <c r="N155" s="28"/>
      <c r="O155" s="34"/>
      <c r="P155" s="34"/>
      <c r="Q155" s="34"/>
      <c r="R155" s="28"/>
      <c r="S155" s="34"/>
      <c r="T155" s="34"/>
      <c r="U155" s="34"/>
      <c r="V155" s="75"/>
      <c r="W155" s="2"/>
      <c r="X155" s="2"/>
    </row>
    <row r="156" spans="1:103" ht="64.5" customHeight="1">
      <c r="A156" s="15"/>
      <c r="B156" s="36" t="s">
        <v>110</v>
      </c>
      <c r="C156" s="68">
        <v>811</v>
      </c>
      <c r="D156" s="69" t="s">
        <v>17</v>
      </c>
      <c r="E156" s="68" t="s">
        <v>238</v>
      </c>
      <c r="F156" s="29">
        <f t="shared" si="173"/>
        <v>367.5</v>
      </c>
      <c r="G156" s="34">
        <v>367.5</v>
      </c>
      <c r="H156" s="34"/>
      <c r="I156" s="34"/>
      <c r="J156" s="29">
        <f t="shared" ref="J156:J160" si="199">K156+L156+M156</f>
        <v>221.5</v>
      </c>
      <c r="K156" s="34">
        <v>221.51</v>
      </c>
      <c r="L156" s="34"/>
      <c r="M156" s="34"/>
      <c r="N156" s="28">
        <f t="shared" ref="N156:N160" si="200">O156+P156+Q156</f>
        <v>367.5</v>
      </c>
      <c r="O156" s="34">
        <v>367.5</v>
      </c>
      <c r="P156" s="34"/>
      <c r="Q156" s="34"/>
      <c r="R156" s="28">
        <f t="shared" ref="R156:R160" si="201">S156+T156+U156</f>
        <v>367.5</v>
      </c>
      <c r="S156" s="34">
        <v>367.5</v>
      </c>
      <c r="T156" s="34"/>
      <c r="U156" s="34"/>
      <c r="V156" s="75">
        <f t="shared" si="177"/>
        <v>0.60299999999999998</v>
      </c>
      <c r="W156" s="2"/>
      <c r="X156" s="2"/>
    </row>
    <row r="157" spans="1:103" ht="64.5" customHeight="1">
      <c r="A157" s="15"/>
      <c r="B157" s="36" t="s">
        <v>110</v>
      </c>
      <c r="C157" s="68">
        <v>815</v>
      </c>
      <c r="D157" s="69" t="s">
        <v>50</v>
      </c>
      <c r="E157" s="68" t="s">
        <v>238</v>
      </c>
      <c r="F157" s="29">
        <f t="shared" si="173"/>
        <v>2931.5</v>
      </c>
      <c r="G157" s="34">
        <v>2931.5</v>
      </c>
      <c r="H157" s="34"/>
      <c r="I157" s="34"/>
      <c r="J157" s="29">
        <f t="shared" si="199"/>
        <v>727.9</v>
      </c>
      <c r="K157" s="34">
        <f>13.3+326+68.6+192.5+127.5</f>
        <v>727.9</v>
      </c>
      <c r="L157" s="34"/>
      <c r="M157" s="34"/>
      <c r="N157" s="28">
        <f t="shared" si="200"/>
        <v>2931.5</v>
      </c>
      <c r="O157" s="34">
        <v>2931.5</v>
      </c>
      <c r="P157" s="34"/>
      <c r="Q157" s="34"/>
      <c r="R157" s="28">
        <f t="shared" si="201"/>
        <v>2931.5</v>
      </c>
      <c r="S157" s="34">
        <v>2931.5</v>
      </c>
      <c r="T157" s="34"/>
      <c r="U157" s="34"/>
      <c r="V157" s="75">
        <f t="shared" si="177"/>
        <v>0.248</v>
      </c>
      <c r="W157" s="2"/>
      <c r="X157" s="2"/>
    </row>
    <row r="158" spans="1:103" ht="64.5" customHeight="1">
      <c r="A158" s="15"/>
      <c r="B158" s="36" t="s">
        <v>110</v>
      </c>
      <c r="C158" s="68">
        <v>816</v>
      </c>
      <c r="D158" s="69" t="s">
        <v>53</v>
      </c>
      <c r="E158" s="68" t="s">
        <v>238</v>
      </c>
      <c r="F158" s="29">
        <f t="shared" si="173"/>
        <v>81</v>
      </c>
      <c r="G158" s="34">
        <v>81</v>
      </c>
      <c r="H158" s="34"/>
      <c r="I158" s="34"/>
      <c r="J158" s="29">
        <f t="shared" si="199"/>
        <v>71.900000000000006</v>
      </c>
      <c r="K158" s="34">
        <v>71.900000000000006</v>
      </c>
      <c r="L158" s="34"/>
      <c r="M158" s="34"/>
      <c r="N158" s="28">
        <f t="shared" si="200"/>
        <v>81</v>
      </c>
      <c r="O158" s="34">
        <v>81</v>
      </c>
      <c r="P158" s="34"/>
      <c r="Q158" s="34"/>
      <c r="R158" s="28">
        <f t="shared" si="201"/>
        <v>81</v>
      </c>
      <c r="S158" s="34">
        <v>81</v>
      </c>
      <c r="T158" s="34"/>
      <c r="U158" s="34"/>
      <c r="V158" s="75">
        <f t="shared" si="177"/>
        <v>0.88800000000000001</v>
      </c>
      <c r="W158" s="2"/>
      <c r="X158" s="2"/>
    </row>
    <row r="159" spans="1:103" ht="65.25" customHeight="1">
      <c r="A159" s="15"/>
      <c r="B159" s="36" t="s">
        <v>110</v>
      </c>
      <c r="C159" s="68">
        <v>822</v>
      </c>
      <c r="D159" s="69" t="s">
        <v>111</v>
      </c>
      <c r="E159" s="68" t="s">
        <v>238</v>
      </c>
      <c r="F159" s="29">
        <f t="shared" si="173"/>
        <v>176747</v>
      </c>
      <c r="G159" s="34">
        <v>176747</v>
      </c>
      <c r="H159" s="34"/>
      <c r="I159" s="34"/>
      <c r="J159" s="29">
        <f t="shared" si="199"/>
        <v>112539.1</v>
      </c>
      <c r="K159" s="34">
        <f>51229.4+47357.3+11563.1+2389.3</f>
        <v>112539.1</v>
      </c>
      <c r="L159" s="34"/>
      <c r="M159" s="34"/>
      <c r="N159" s="28">
        <f t="shared" si="200"/>
        <v>148898.4</v>
      </c>
      <c r="O159" s="34">
        <v>148898.4</v>
      </c>
      <c r="P159" s="34"/>
      <c r="Q159" s="34"/>
      <c r="R159" s="28">
        <f t="shared" si="201"/>
        <v>154200</v>
      </c>
      <c r="S159" s="34">
        <v>154200</v>
      </c>
      <c r="T159" s="34"/>
      <c r="U159" s="34"/>
      <c r="V159" s="75">
        <f t="shared" si="177"/>
        <v>0.63700000000000001</v>
      </c>
      <c r="W159" s="2"/>
      <c r="X159" s="2"/>
    </row>
    <row r="160" spans="1:103" s="9" customFormat="1" ht="38.25" customHeight="1">
      <c r="A160" s="25" t="s">
        <v>249</v>
      </c>
      <c r="B160" s="57" t="s">
        <v>235</v>
      </c>
      <c r="C160" s="27" t="s">
        <v>12</v>
      </c>
      <c r="D160" s="27" t="s">
        <v>12</v>
      </c>
      <c r="E160" s="27" t="s">
        <v>12</v>
      </c>
      <c r="F160" s="29">
        <f t="shared" si="173"/>
        <v>49798.9</v>
      </c>
      <c r="G160" s="29">
        <f>SUM(G162:G163)</f>
        <v>49798.9</v>
      </c>
      <c r="H160" s="29">
        <f>SUM(H162:H163)</f>
        <v>0</v>
      </c>
      <c r="I160" s="29">
        <f>SUM(I162:I163)</f>
        <v>0</v>
      </c>
      <c r="J160" s="29">
        <f t="shared" si="199"/>
        <v>18798.900000000001</v>
      </c>
      <c r="K160" s="29">
        <f>SUM(K162:K163)</f>
        <v>18798.900000000001</v>
      </c>
      <c r="L160" s="29">
        <f>SUM(L162:L163)</f>
        <v>0</v>
      </c>
      <c r="M160" s="29">
        <f>SUM(M162:M163)</f>
        <v>0</v>
      </c>
      <c r="N160" s="29">
        <f t="shared" si="200"/>
        <v>173750</v>
      </c>
      <c r="O160" s="29">
        <f>SUM(O162:O163)</f>
        <v>53750</v>
      </c>
      <c r="P160" s="29">
        <f>SUM(P162:P163)</f>
        <v>120000</v>
      </c>
      <c r="Q160" s="29">
        <f>SUM(Q162:Q163)</f>
        <v>0</v>
      </c>
      <c r="R160" s="29">
        <f t="shared" si="201"/>
        <v>160000</v>
      </c>
      <c r="S160" s="29">
        <f>SUM(S162:S163)</f>
        <v>40000</v>
      </c>
      <c r="T160" s="29">
        <f>SUM(T162:T163)</f>
        <v>120000</v>
      </c>
      <c r="U160" s="29">
        <f>SUM(U162:U163)</f>
        <v>0</v>
      </c>
      <c r="V160" s="41">
        <f t="shared" si="177"/>
        <v>0.377</v>
      </c>
      <c r="W160" s="76" t="s">
        <v>366</v>
      </c>
      <c r="X160" s="2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</row>
    <row r="161" spans="1:103" ht="22.5" customHeight="1">
      <c r="A161" s="15"/>
      <c r="B161" s="32" t="s">
        <v>15</v>
      </c>
      <c r="C161" s="67"/>
      <c r="D161" s="67"/>
      <c r="E161" s="67"/>
      <c r="F161" s="29"/>
      <c r="G161" s="29"/>
      <c r="H161" s="29"/>
      <c r="I161" s="29"/>
      <c r="J161" s="29"/>
      <c r="K161" s="29"/>
      <c r="L161" s="29"/>
      <c r="M161" s="29"/>
      <c r="N161" s="28"/>
      <c r="O161" s="29"/>
      <c r="P161" s="29"/>
      <c r="Q161" s="29"/>
      <c r="R161" s="28"/>
      <c r="S161" s="29"/>
      <c r="T161" s="29"/>
      <c r="U161" s="29"/>
      <c r="V161" s="41"/>
      <c r="W161" s="2"/>
      <c r="X161" s="2"/>
    </row>
    <row r="162" spans="1:103" ht="86.25" customHeight="1">
      <c r="A162" s="15"/>
      <c r="B162" s="36" t="s">
        <v>243</v>
      </c>
      <c r="C162" s="68">
        <v>822</v>
      </c>
      <c r="D162" s="69" t="s">
        <v>111</v>
      </c>
      <c r="E162" s="68" t="s">
        <v>242</v>
      </c>
      <c r="F162" s="29">
        <f t="shared" si="173"/>
        <v>15500</v>
      </c>
      <c r="G162" s="34">
        <v>15500</v>
      </c>
      <c r="H162" s="34"/>
      <c r="I162" s="34"/>
      <c r="J162" s="29">
        <f t="shared" ref="J162:J165" si="202">K162+L162+M162</f>
        <v>0</v>
      </c>
      <c r="K162" s="34"/>
      <c r="L162" s="34"/>
      <c r="M162" s="34"/>
      <c r="N162" s="28">
        <f t="shared" ref="N162:N165" si="203">O162+P162+Q162</f>
        <v>120000</v>
      </c>
      <c r="O162" s="34"/>
      <c r="P162" s="34">
        <v>120000</v>
      </c>
      <c r="Q162" s="34"/>
      <c r="R162" s="28">
        <f t="shared" ref="R162:R165" si="204">S162+T162+U162</f>
        <v>120000</v>
      </c>
      <c r="S162" s="34"/>
      <c r="T162" s="34">
        <v>120000</v>
      </c>
      <c r="U162" s="34"/>
      <c r="V162" s="75"/>
      <c r="W162" s="2"/>
      <c r="X162" s="2"/>
    </row>
    <row r="163" spans="1:103" ht="65.25" customHeight="1">
      <c r="A163" s="15"/>
      <c r="B163" s="36" t="s">
        <v>110</v>
      </c>
      <c r="C163" s="68">
        <v>822</v>
      </c>
      <c r="D163" s="69" t="s">
        <v>111</v>
      </c>
      <c r="E163" s="68" t="s">
        <v>302</v>
      </c>
      <c r="F163" s="29">
        <f t="shared" si="173"/>
        <v>34298.9</v>
      </c>
      <c r="G163" s="34">
        <f>36298.9-2000</f>
        <v>34298.9</v>
      </c>
      <c r="H163" s="34"/>
      <c r="I163" s="34"/>
      <c r="J163" s="29">
        <f t="shared" si="202"/>
        <v>18798.900000000001</v>
      </c>
      <c r="K163" s="34">
        <v>18798.900000000001</v>
      </c>
      <c r="L163" s="34"/>
      <c r="M163" s="34"/>
      <c r="N163" s="28">
        <f t="shared" si="203"/>
        <v>53750</v>
      </c>
      <c r="O163" s="34">
        <v>53750</v>
      </c>
      <c r="P163" s="34"/>
      <c r="Q163" s="34"/>
      <c r="R163" s="28">
        <f t="shared" si="204"/>
        <v>40000</v>
      </c>
      <c r="S163" s="34">
        <v>40000</v>
      </c>
      <c r="T163" s="34"/>
      <c r="U163" s="34"/>
      <c r="V163" s="75">
        <f t="shared" si="177"/>
        <v>0.54800000000000004</v>
      </c>
      <c r="W163" s="2"/>
      <c r="X163" s="2"/>
    </row>
    <row r="164" spans="1:103" s="83" customFormat="1" ht="28.5" customHeight="1">
      <c r="A164" s="20" t="s">
        <v>112</v>
      </c>
      <c r="B164" s="21" t="s">
        <v>113</v>
      </c>
      <c r="C164" s="22" t="s">
        <v>12</v>
      </c>
      <c r="D164" s="22" t="s">
        <v>12</v>
      </c>
      <c r="E164" s="22" t="s">
        <v>12</v>
      </c>
      <c r="F164" s="53">
        <f t="shared" si="173"/>
        <v>83359.3</v>
      </c>
      <c r="G164" s="53">
        <f>G165+G174+G177</f>
        <v>24293.599999999999</v>
      </c>
      <c r="H164" s="53">
        <f>H165+H174+H177</f>
        <v>56845.2</v>
      </c>
      <c r="I164" s="53">
        <f>I165+I174+I177</f>
        <v>2220.5</v>
      </c>
      <c r="J164" s="53">
        <f t="shared" si="202"/>
        <v>59419.5</v>
      </c>
      <c r="K164" s="53">
        <f>K165+K174+K177</f>
        <v>16668.599999999999</v>
      </c>
      <c r="L164" s="53">
        <f>L165+L174+L177</f>
        <v>41460</v>
      </c>
      <c r="M164" s="53">
        <f>M165+M174+M177</f>
        <v>1290.9000000000001</v>
      </c>
      <c r="N164" s="53">
        <f t="shared" si="203"/>
        <v>142214.20000000001</v>
      </c>
      <c r="O164" s="53">
        <f>O165+O174+O177</f>
        <v>21994.799999999999</v>
      </c>
      <c r="P164" s="53">
        <f>P165+P174+P177</f>
        <v>120219.4</v>
      </c>
      <c r="Q164" s="53">
        <f>Q165+Q174+Q177</f>
        <v>0</v>
      </c>
      <c r="R164" s="53">
        <f t="shared" si="204"/>
        <v>239867.5</v>
      </c>
      <c r="S164" s="53">
        <f>S165+S174+S177</f>
        <v>28172.1</v>
      </c>
      <c r="T164" s="53">
        <f>T165+T174+T177</f>
        <v>211695.4</v>
      </c>
      <c r="U164" s="53">
        <f>U165+U174+U177</f>
        <v>0</v>
      </c>
      <c r="V164" s="54">
        <f t="shared" si="177"/>
        <v>0.71299999999999997</v>
      </c>
      <c r="W164" s="2"/>
      <c r="X164" s="2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/>
    </row>
    <row r="165" spans="1:103" ht="46.5" customHeight="1">
      <c r="A165" s="12" t="s">
        <v>114</v>
      </c>
      <c r="B165" s="26" t="s">
        <v>115</v>
      </c>
      <c r="C165" s="40" t="s">
        <v>12</v>
      </c>
      <c r="D165" s="40" t="s">
        <v>12</v>
      </c>
      <c r="E165" s="40" t="s">
        <v>12</v>
      </c>
      <c r="F165" s="29">
        <f t="shared" si="173"/>
        <v>66751.399999999994</v>
      </c>
      <c r="G165" s="29">
        <f>SUM(G167:G173)</f>
        <v>10027.299999999999</v>
      </c>
      <c r="H165" s="29">
        <f>SUM(H167:H173)</f>
        <v>54545.2</v>
      </c>
      <c r="I165" s="29">
        <f>SUM(I167:I173)</f>
        <v>2178.9</v>
      </c>
      <c r="J165" s="29">
        <f t="shared" si="202"/>
        <v>44670.5</v>
      </c>
      <c r="K165" s="29">
        <f>SUM(K167:K173)</f>
        <v>4219.6000000000004</v>
      </c>
      <c r="L165" s="29">
        <f>SUM(L167:L173)</f>
        <v>39160</v>
      </c>
      <c r="M165" s="29">
        <f>SUM(M167:M173)</f>
        <v>1290.9000000000001</v>
      </c>
      <c r="N165" s="28">
        <f t="shared" si="203"/>
        <v>121019.9</v>
      </c>
      <c r="O165" s="29">
        <f>SUM(O167:O173)</f>
        <v>7800.5</v>
      </c>
      <c r="P165" s="29">
        <f>SUM(P167:P173)</f>
        <v>113219.4</v>
      </c>
      <c r="Q165" s="29">
        <f>SUM(Q167:Q173)</f>
        <v>0</v>
      </c>
      <c r="R165" s="28">
        <f t="shared" si="204"/>
        <v>224373.2</v>
      </c>
      <c r="S165" s="29">
        <f>SUM(S167:S173)</f>
        <v>13977.8</v>
      </c>
      <c r="T165" s="29">
        <f>SUM(T167:T173)</f>
        <v>210395.4</v>
      </c>
      <c r="U165" s="29">
        <f>SUM(U167:U173)</f>
        <v>0</v>
      </c>
      <c r="V165" s="41">
        <f t="shared" si="177"/>
        <v>0.66900000000000004</v>
      </c>
      <c r="W165" s="46" t="s">
        <v>368</v>
      </c>
      <c r="X165" s="2"/>
    </row>
    <row r="166" spans="1:103" ht="18.75">
      <c r="A166" s="15"/>
      <c r="B166" s="32" t="s">
        <v>15</v>
      </c>
      <c r="C166" s="67"/>
      <c r="D166" s="67"/>
      <c r="E166" s="67"/>
      <c r="F166" s="29"/>
      <c r="G166" s="29"/>
      <c r="H166" s="29"/>
      <c r="I166" s="29"/>
      <c r="J166" s="29"/>
      <c r="K166" s="29"/>
      <c r="L166" s="29"/>
      <c r="M166" s="29"/>
      <c r="N166" s="28"/>
      <c r="O166" s="29"/>
      <c r="P166" s="29"/>
      <c r="Q166" s="29"/>
      <c r="R166" s="28"/>
      <c r="S166" s="29"/>
      <c r="T166" s="29"/>
      <c r="U166" s="29"/>
      <c r="V166" s="41"/>
      <c r="W166" s="2"/>
      <c r="X166" s="2"/>
    </row>
    <row r="167" spans="1:103" ht="36.75" customHeight="1">
      <c r="A167" s="42"/>
      <c r="B167" s="44" t="s">
        <v>187</v>
      </c>
      <c r="C167" s="37">
        <v>821</v>
      </c>
      <c r="D167" s="38" t="s">
        <v>19</v>
      </c>
      <c r="E167" s="37" t="s">
        <v>188</v>
      </c>
      <c r="F167" s="29">
        <f t="shared" si="173"/>
        <v>31701.4</v>
      </c>
      <c r="G167" s="34">
        <v>5027.3</v>
      </c>
      <c r="H167" s="34">
        <v>24545.200000000001</v>
      </c>
      <c r="I167" s="34">
        <v>2128.9</v>
      </c>
      <c r="J167" s="29">
        <f t="shared" ref="J167:J174" si="205">K167+L167+M167</f>
        <v>16193.2</v>
      </c>
      <c r="K167" s="34">
        <f>772.7+206+558.7+306.8+689.2</f>
        <v>2533.4</v>
      </c>
      <c r="L167" s="34">
        <f>3772.7+1005.5+2727.8+1497.8+3365.1</f>
        <v>12368.9</v>
      </c>
      <c r="M167" s="34">
        <v>1290.9000000000001</v>
      </c>
      <c r="N167" s="29">
        <f t="shared" ref="N167:N174" si="206">O167+P167+Q167</f>
        <v>30224.2</v>
      </c>
      <c r="O167" s="34">
        <v>3929.1</v>
      </c>
      <c r="P167" s="34">
        <v>26295.1</v>
      </c>
      <c r="Q167" s="34"/>
      <c r="R167" s="29">
        <f t="shared" ref="R167:R174" si="207">S167+T167+U167</f>
        <v>72466.399999999994</v>
      </c>
      <c r="S167" s="34">
        <v>9420.6</v>
      </c>
      <c r="T167" s="34">
        <v>63045.8</v>
      </c>
      <c r="U167" s="34"/>
      <c r="V167" s="75">
        <f t="shared" si="177"/>
        <v>0.51100000000000001</v>
      </c>
      <c r="W167" s="2"/>
      <c r="X167" s="2"/>
    </row>
    <row r="168" spans="1:103" ht="44.25" customHeight="1">
      <c r="A168" s="42"/>
      <c r="B168" s="44" t="s">
        <v>286</v>
      </c>
      <c r="C168" s="37">
        <v>821</v>
      </c>
      <c r="D168" s="38" t="s">
        <v>19</v>
      </c>
      <c r="E168" s="37" t="s">
        <v>287</v>
      </c>
      <c r="F168" s="29">
        <f t="shared" si="173"/>
        <v>0</v>
      </c>
      <c r="G168" s="34">
        <f>3512.3-3512.3</f>
        <v>0</v>
      </c>
      <c r="H168" s="34"/>
      <c r="I168" s="34"/>
      <c r="J168" s="29">
        <f t="shared" si="205"/>
        <v>0</v>
      </c>
      <c r="K168" s="34"/>
      <c r="L168" s="34"/>
      <c r="M168" s="34"/>
      <c r="N168" s="29">
        <f t="shared" si="206"/>
        <v>0</v>
      </c>
      <c r="O168" s="34"/>
      <c r="P168" s="34"/>
      <c r="Q168" s="34"/>
      <c r="R168" s="29">
        <f t="shared" si="207"/>
        <v>0</v>
      </c>
      <c r="S168" s="34"/>
      <c r="T168" s="34"/>
      <c r="U168" s="34"/>
      <c r="V168" s="75"/>
      <c r="W168" s="2"/>
      <c r="X168" s="2"/>
    </row>
    <row r="169" spans="1:103" ht="75.75" customHeight="1">
      <c r="A169" s="42"/>
      <c r="B169" s="44" t="s">
        <v>289</v>
      </c>
      <c r="C169" s="37">
        <v>814</v>
      </c>
      <c r="D169" s="38" t="s">
        <v>116</v>
      </c>
      <c r="E169" s="37" t="s">
        <v>288</v>
      </c>
      <c r="F169" s="29">
        <f t="shared" si="173"/>
        <v>0</v>
      </c>
      <c r="G169" s="34"/>
      <c r="H169" s="34"/>
      <c r="I169" s="34"/>
      <c r="J169" s="29">
        <f t="shared" si="205"/>
        <v>0</v>
      </c>
      <c r="K169" s="34"/>
      <c r="L169" s="34"/>
      <c r="M169" s="34"/>
      <c r="N169" s="29">
        <f t="shared" si="206"/>
        <v>22950.9</v>
      </c>
      <c r="O169" s="34">
        <v>1836.1</v>
      </c>
      <c r="P169" s="34">
        <v>21114.799999999999</v>
      </c>
      <c r="Q169" s="34"/>
      <c r="R169" s="29">
        <f t="shared" si="207"/>
        <v>0</v>
      </c>
      <c r="S169" s="34"/>
      <c r="T169" s="34"/>
      <c r="U169" s="34"/>
      <c r="V169" s="75"/>
      <c r="W169" s="2"/>
      <c r="X169" s="2"/>
    </row>
    <row r="170" spans="1:103" ht="60" customHeight="1">
      <c r="A170" s="42"/>
      <c r="B170" s="44" t="s">
        <v>291</v>
      </c>
      <c r="C170" s="37">
        <v>814</v>
      </c>
      <c r="D170" s="38" t="s">
        <v>116</v>
      </c>
      <c r="E170" s="37" t="s">
        <v>290</v>
      </c>
      <c r="F170" s="29">
        <f t="shared" si="173"/>
        <v>0</v>
      </c>
      <c r="G170" s="34"/>
      <c r="H170" s="34"/>
      <c r="I170" s="34"/>
      <c r="J170" s="29">
        <f t="shared" si="205"/>
        <v>0</v>
      </c>
      <c r="K170" s="34"/>
      <c r="L170" s="34"/>
      <c r="M170" s="34"/>
      <c r="N170" s="29">
        <f t="shared" si="206"/>
        <v>0</v>
      </c>
      <c r="O170" s="34"/>
      <c r="P170" s="34"/>
      <c r="Q170" s="34"/>
      <c r="R170" s="29">
        <f t="shared" si="207"/>
        <v>18871.900000000001</v>
      </c>
      <c r="S170" s="34">
        <v>566.20000000000005</v>
      </c>
      <c r="T170" s="34">
        <v>18305.7</v>
      </c>
      <c r="U170" s="34"/>
      <c r="V170" s="75"/>
      <c r="W170" s="2"/>
      <c r="X170" s="2"/>
    </row>
    <row r="171" spans="1:103" ht="33.75" customHeight="1">
      <c r="A171" s="42"/>
      <c r="B171" s="44" t="s">
        <v>343</v>
      </c>
      <c r="C171" s="37">
        <v>814</v>
      </c>
      <c r="D171" s="38" t="s">
        <v>116</v>
      </c>
      <c r="E171" s="37" t="s">
        <v>342</v>
      </c>
      <c r="F171" s="29">
        <f t="shared" ref="F171" si="208">G171+H171+I171</f>
        <v>5050</v>
      </c>
      <c r="G171" s="34">
        <v>5000</v>
      </c>
      <c r="H171" s="34"/>
      <c r="I171" s="34">
        <v>50</v>
      </c>
      <c r="J171" s="29">
        <f t="shared" ref="J171" si="209">K171+L171+M171</f>
        <v>1686.2</v>
      </c>
      <c r="K171" s="34">
        <v>1686.2</v>
      </c>
      <c r="L171" s="34"/>
      <c r="M171" s="34"/>
      <c r="N171" s="29">
        <f t="shared" ref="N171" si="210">O171+P171+Q171</f>
        <v>0</v>
      </c>
      <c r="O171" s="34"/>
      <c r="P171" s="34"/>
      <c r="Q171" s="34"/>
      <c r="R171" s="29">
        <f t="shared" ref="R171" si="211">S171+T171+U171</f>
        <v>0</v>
      </c>
      <c r="S171" s="34"/>
      <c r="T171" s="34"/>
      <c r="U171" s="34"/>
      <c r="V171" s="75">
        <f t="shared" si="177"/>
        <v>0.33400000000000002</v>
      </c>
      <c r="W171" s="2"/>
      <c r="X171" s="2"/>
    </row>
    <row r="172" spans="1:103" ht="52.5" customHeight="1">
      <c r="A172" s="42"/>
      <c r="B172" s="44" t="s">
        <v>185</v>
      </c>
      <c r="C172" s="37">
        <v>844</v>
      </c>
      <c r="D172" s="38" t="s">
        <v>184</v>
      </c>
      <c r="E172" s="37" t="s">
        <v>186</v>
      </c>
      <c r="F172" s="29">
        <f t="shared" si="173"/>
        <v>0</v>
      </c>
      <c r="G172" s="34"/>
      <c r="H172" s="34"/>
      <c r="I172" s="34"/>
      <c r="J172" s="29">
        <f t="shared" si="205"/>
        <v>0</v>
      </c>
      <c r="K172" s="34"/>
      <c r="L172" s="34"/>
      <c r="M172" s="34"/>
      <c r="N172" s="29">
        <f t="shared" si="206"/>
        <v>67844.800000000003</v>
      </c>
      <c r="O172" s="34">
        <v>2035.3</v>
      </c>
      <c r="P172" s="34">
        <v>65809.5</v>
      </c>
      <c r="Q172" s="34"/>
      <c r="R172" s="29">
        <f t="shared" si="207"/>
        <v>133034.9</v>
      </c>
      <c r="S172" s="34">
        <v>3991</v>
      </c>
      <c r="T172" s="34">
        <v>129043.9</v>
      </c>
      <c r="U172" s="34"/>
      <c r="V172" s="75"/>
      <c r="W172" s="2"/>
      <c r="X172" s="2"/>
    </row>
    <row r="173" spans="1:103" ht="61.5" customHeight="1">
      <c r="A173" s="42"/>
      <c r="B173" s="44" t="s">
        <v>313</v>
      </c>
      <c r="C173" s="37">
        <v>814</v>
      </c>
      <c r="D173" s="38" t="s">
        <v>116</v>
      </c>
      <c r="E173" s="37" t="s">
        <v>183</v>
      </c>
      <c r="F173" s="29">
        <f t="shared" si="173"/>
        <v>30000</v>
      </c>
      <c r="G173" s="34"/>
      <c r="H173" s="34">
        <v>30000</v>
      </c>
      <c r="I173" s="34"/>
      <c r="J173" s="29">
        <f t="shared" si="205"/>
        <v>26791.1</v>
      </c>
      <c r="K173" s="34"/>
      <c r="L173" s="34">
        <f>6703.1+5509.7+9500+586.1+4492.2</f>
        <v>26791.1</v>
      </c>
      <c r="M173" s="34"/>
      <c r="N173" s="29">
        <f t="shared" si="206"/>
        <v>0</v>
      </c>
      <c r="O173" s="34"/>
      <c r="P173" s="34"/>
      <c r="Q173" s="34"/>
      <c r="R173" s="29">
        <f t="shared" si="207"/>
        <v>0</v>
      </c>
      <c r="S173" s="34"/>
      <c r="T173" s="34"/>
      <c r="U173" s="34"/>
      <c r="V173" s="75">
        <f t="shared" si="177"/>
        <v>0.89300000000000002</v>
      </c>
      <c r="W173" s="2"/>
      <c r="X173" s="2"/>
    </row>
    <row r="174" spans="1:103" ht="26.25" customHeight="1">
      <c r="A174" s="25" t="s">
        <v>117</v>
      </c>
      <c r="B174" s="57" t="s">
        <v>118</v>
      </c>
      <c r="C174" s="74" t="s">
        <v>12</v>
      </c>
      <c r="D174" s="74" t="s">
        <v>12</v>
      </c>
      <c r="E174" s="74" t="s">
        <v>12</v>
      </c>
      <c r="F174" s="29">
        <f t="shared" si="173"/>
        <v>1000</v>
      </c>
      <c r="G174" s="29">
        <f t="shared" ref="G174:H174" si="212">SUM(G176)</f>
        <v>0</v>
      </c>
      <c r="H174" s="29">
        <f t="shared" si="212"/>
        <v>1000</v>
      </c>
      <c r="I174" s="29">
        <f t="shared" ref="I174" si="213">SUM(I176)</f>
        <v>0</v>
      </c>
      <c r="J174" s="29">
        <f t="shared" si="205"/>
        <v>1000</v>
      </c>
      <c r="K174" s="29">
        <f t="shared" ref="K174:M174" si="214">SUM(K176)</f>
        <v>0</v>
      </c>
      <c r="L174" s="29">
        <f t="shared" si="214"/>
        <v>1000</v>
      </c>
      <c r="M174" s="29">
        <f t="shared" si="214"/>
        <v>0</v>
      </c>
      <c r="N174" s="29">
        <f t="shared" si="206"/>
        <v>5700</v>
      </c>
      <c r="O174" s="29">
        <f t="shared" ref="O174:T174" si="215">SUM(O176)</f>
        <v>0</v>
      </c>
      <c r="P174" s="29">
        <f t="shared" si="215"/>
        <v>5700</v>
      </c>
      <c r="Q174" s="29">
        <f t="shared" si="215"/>
        <v>0</v>
      </c>
      <c r="R174" s="29">
        <f t="shared" si="207"/>
        <v>0</v>
      </c>
      <c r="S174" s="29">
        <f t="shared" si="215"/>
        <v>0</v>
      </c>
      <c r="T174" s="29">
        <f t="shared" si="215"/>
        <v>0</v>
      </c>
      <c r="U174" s="29">
        <f t="shared" ref="U174" si="216">SUM(U176)</f>
        <v>0</v>
      </c>
      <c r="V174" s="41">
        <f t="shared" si="177"/>
        <v>1</v>
      </c>
      <c r="W174" s="76" t="s">
        <v>369</v>
      </c>
      <c r="X174" s="2"/>
    </row>
    <row r="175" spans="1:103" ht="18.75">
      <c r="A175" s="42"/>
      <c r="B175" s="73" t="s">
        <v>15</v>
      </c>
      <c r="C175" s="33"/>
      <c r="D175" s="45"/>
      <c r="E175" s="33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41"/>
      <c r="W175" s="2"/>
      <c r="X175" s="2"/>
    </row>
    <row r="176" spans="1:103" ht="61.5" customHeight="1">
      <c r="A176" s="42"/>
      <c r="B176" s="44" t="s">
        <v>372</v>
      </c>
      <c r="C176" s="37">
        <v>814</v>
      </c>
      <c r="D176" s="38" t="s">
        <v>116</v>
      </c>
      <c r="E176" s="37" t="s">
        <v>189</v>
      </c>
      <c r="F176" s="29">
        <f t="shared" si="173"/>
        <v>1000</v>
      </c>
      <c r="G176" s="34"/>
      <c r="H176" s="34">
        <v>1000</v>
      </c>
      <c r="I176" s="34"/>
      <c r="J176" s="29">
        <f t="shared" ref="J176:J177" si="217">K176+L176+M176</f>
        <v>1000</v>
      </c>
      <c r="K176" s="34"/>
      <c r="L176" s="34">
        <v>1000</v>
      </c>
      <c r="M176" s="34"/>
      <c r="N176" s="29">
        <f t="shared" ref="N176:N177" si="218">O176+P176+Q176</f>
        <v>5700</v>
      </c>
      <c r="O176" s="34"/>
      <c r="P176" s="34">
        <v>5700</v>
      </c>
      <c r="Q176" s="34"/>
      <c r="R176" s="29">
        <f t="shared" ref="R176:R177" si="219">S176+T176+U176</f>
        <v>0</v>
      </c>
      <c r="S176" s="34"/>
      <c r="T176" s="34"/>
      <c r="U176" s="34"/>
      <c r="V176" s="75">
        <f t="shared" si="177"/>
        <v>1</v>
      </c>
      <c r="W176" s="2"/>
      <c r="X176" s="2"/>
    </row>
    <row r="177" spans="1:103" ht="18.75">
      <c r="A177" s="25" t="s">
        <v>260</v>
      </c>
      <c r="B177" s="57" t="s">
        <v>119</v>
      </c>
      <c r="C177" s="74" t="s">
        <v>12</v>
      </c>
      <c r="D177" s="74" t="s">
        <v>12</v>
      </c>
      <c r="E177" s="74" t="s">
        <v>12</v>
      </c>
      <c r="F177" s="29">
        <f t="shared" si="173"/>
        <v>15607.9</v>
      </c>
      <c r="G177" s="29">
        <f>SUM(G179:G181)</f>
        <v>14266.3</v>
      </c>
      <c r="H177" s="29">
        <f>SUM(H179:H181)</f>
        <v>1300</v>
      </c>
      <c r="I177" s="29">
        <f>SUM(I179:I181)</f>
        <v>41.6</v>
      </c>
      <c r="J177" s="29">
        <f t="shared" si="217"/>
        <v>13749</v>
      </c>
      <c r="K177" s="29">
        <f>SUM(K179:K181)</f>
        <v>12449</v>
      </c>
      <c r="L177" s="29">
        <f>SUM(L179:L181)</f>
        <v>1300</v>
      </c>
      <c r="M177" s="29">
        <f>SUM(M179:M181)</f>
        <v>0</v>
      </c>
      <c r="N177" s="29">
        <f t="shared" si="218"/>
        <v>15494.3</v>
      </c>
      <c r="O177" s="29">
        <f>SUM(O179:O181)</f>
        <v>14194.3</v>
      </c>
      <c r="P177" s="29">
        <f>SUM(P179:P181)</f>
        <v>1300</v>
      </c>
      <c r="Q177" s="29">
        <f>SUM(Q179:Q181)</f>
        <v>0</v>
      </c>
      <c r="R177" s="29">
        <f t="shared" si="219"/>
        <v>15494.3</v>
      </c>
      <c r="S177" s="29">
        <f>SUM(S179:S181)</f>
        <v>14194.3</v>
      </c>
      <c r="T177" s="29">
        <f>SUM(T179:T181)</f>
        <v>1300</v>
      </c>
      <c r="U177" s="29">
        <f>SUM(U179:U181)</f>
        <v>0</v>
      </c>
      <c r="V177" s="41">
        <f t="shared" si="177"/>
        <v>0.88100000000000001</v>
      </c>
      <c r="W177" s="76" t="s">
        <v>369</v>
      </c>
      <c r="X177" s="2"/>
    </row>
    <row r="178" spans="1:103" ht="18.75">
      <c r="A178" s="42"/>
      <c r="B178" s="73" t="s">
        <v>15</v>
      </c>
      <c r="C178" s="33"/>
      <c r="D178" s="45"/>
      <c r="E178" s="33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41"/>
      <c r="W178" s="2"/>
      <c r="X178" s="2"/>
    </row>
    <row r="179" spans="1:103" ht="33">
      <c r="A179" s="42"/>
      <c r="B179" s="44" t="s">
        <v>120</v>
      </c>
      <c r="C179" s="37">
        <v>814</v>
      </c>
      <c r="D179" s="38" t="s">
        <v>116</v>
      </c>
      <c r="E179" s="37" t="s">
        <v>218</v>
      </c>
      <c r="F179" s="29">
        <f t="shared" si="173"/>
        <v>13000</v>
      </c>
      <c r="G179" s="34">
        <v>13000</v>
      </c>
      <c r="H179" s="34"/>
      <c r="I179" s="34"/>
      <c r="J179" s="29">
        <f t="shared" ref="J179:J183" si="220">K179+L179+M179</f>
        <v>11588.5</v>
      </c>
      <c r="K179" s="34">
        <f>11557.7+30.8</f>
        <v>11588.5</v>
      </c>
      <c r="L179" s="34"/>
      <c r="M179" s="34"/>
      <c r="N179" s="29">
        <f t="shared" ref="N179:N183" si="221">O179+P179+Q179</f>
        <v>13000</v>
      </c>
      <c r="O179" s="34">
        <v>13000</v>
      </c>
      <c r="P179" s="34"/>
      <c r="Q179" s="34"/>
      <c r="R179" s="29">
        <f t="shared" ref="R179:R183" si="222">S179+T179+U179</f>
        <v>13000</v>
      </c>
      <c r="S179" s="34">
        <v>13000</v>
      </c>
      <c r="T179" s="34"/>
      <c r="U179" s="34"/>
      <c r="V179" s="75">
        <f t="shared" si="177"/>
        <v>0.89100000000000001</v>
      </c>
      <c r="W179" s="2"/>
      <c r="X179" s="2"/>
    </row>
    <row r="180" spans="1:103" ht="55.5" customHeight="1">
      <c r="A180" s="42"/>
      <c r="B180" s="44" t="s">
        <v>293</v>
      </c>
      <c r="C180" s="37">
        <v>814</v>
      </c>
      <c r="D180" s="38" t="s">
        <v>116</v>
      </c>
      <c r="E180" s="37" t="s">
        <v>292</v>
      </c>
      <c r="F180" s="29">
        <f t="shared" si="173"/>
        <v>1566.3</v>
      </c>
      <c r="G180" s="34">
        <v>266.3</v>
      </c>
      <c r="H180" s="34">
        <v>1300</v>
      </c>
      <c r="I180" s="34"/>
      <c r="J180" s="29">
        <f t="shared" si="220"/>
        <v>1566.3</v>
      </c>
      <c r="K180" s="34">
        <f>41+64.2+104.3+36.3+20.5</f>
        <v>266.3</v>
      </c>
      <c r="L180" s="34">
        <f>200+313.2+509.4+177.4+100</f>
        <v>1300</v>
      </c>
      <c r="M180" s="34"/>
      <c r="N180" s="29">
        <f t="shared" si="221"/>
        <v>1494.3</v>
      </c>
      <c r="O180" s="34">
        <v>194.3</v>
      </c>
      <c r="P180" s="34">
        <v>1300</v>
      </c>
      <c r="Q180" s="34"/>
      <c r="R180" s="29">
        <f t="shared" si="222"/>
        <v>1494.3</v>
      </c>
      <c r="S180" s="34">
        <v>194.3</v>
      </c>
      <c r="T180" s="34">
        <v>1300</v>
      </c>
      <c r="U180" s="34"/>
      <c r="V180" s="75">
        <f t="shared" si="177"/>
        <v>1</v>
      </c>
      <c r="W180" s="2"/>
      <c r="X180" s="2"/>
    </row>
    <row r="181" spans="1:103" ht="77.25" customHeight="1">
      <c r="A181" s="42"/>
      <c r="B181" s="44" t="s">
        <v>220</v>
      </c>
      <c r="C181" s="37">
        <v>814</v>
      </c>
      <c r="D181" s="38" t="s">
        <v>116</v>
      </c>
      <c r="E181" s="37" t="s">
        <v>219</v>
      </c>
      <c r="F181" s="29">
        <f t="shared" si="173"/>
        <v>1041.5999999999999</v>
      </c>
      <c r="G181" s="34">
        <v>1000</v>
      </c>
      <c r="H181" s="34"/>
      <c r="I181" s="34">
        <v>41.6</v>
      </c>
      <c r="J181" s="29">
        <f t="shared" si="220"/>
        <v>594.20000000000005</v>
      </c>
      <c r="K181" s="34">
        <v>594.20000000000005</v>
      </c>
      <c r="L181" s="34"/>
      <c r="M181" s="34">
        <v>0</v>
      </c>
      <c r="N181" s="29">
        <f t="shared" si="221"/>
        <v>1000</v>
      </c>
      <c r="O181" s="34">
        <v>1000</v>
      </c>
      <c r="P181" s="34"/>
      <c r="Q181" s="34"/>
      <c r="R181" s="29">
        <f t="shared" si="222"/>
        <v>1000</v>
      </c>
      <c r="S181" s="34">
        <v>1000</v>
      </c>
      <c r="T181" s="34"/>
      <c r="U181" s="34"/>
      <c r="V181" s="75">
        <f t="shared" si="177"/>
        <v>0.56999999999999995</v>
      </c>
      <c r="W181" s="2"/>
      <c r="X181" s="2"/>
    </row>
    <row r="182" spans="1:103" s="83" customFormat="1" ht="78.75" customHeight="1">
      <c r="A182" s="20" t="s">
        <v>121</v>
      </c>
      <c r="B182" s="72" t="s">
        <v>122</v>
      </c>
      <c r="C182" s="22" t="s">
        <v>12</v>
      </c>
      <c r="D182" s="22" t="s">
        <v>12</v>
      </c>
      <c r="E182" s="22" t="s">
        <v>12</v>
      </c>
      <c r="F182" s="53">
        <f>F183+F187+F200</f>
        <v>198909</v>
      </c>
      <c r="G182" s="53">
        <f>G183+G187+G200</f>
        <v>6957.1</v>
      </c>
      <c r="H182" s="53">
        <f>H183+H187+H200</f>
        <v>191951.9</v>
      </c>
      <c r="I182" s="53">
        <f>I183+I187+I200</f>
        <v>0</v>
      </c>
      <c r="J182" s="53">
        <f t="shared" si="220"/>
        <v>158298.5</v>
      </c>
      <c r="K182" s="53">
        <f>K183+K187+K200</f>
        <v>5243.9</v>
      </c>
      <c r="L182" s="53">
        <f>L183+L187+L200</f>
        <v>153054.6</v>
      </c>
      <c r="M182" s="53">
        <f>M183+M187+M200</f>
        <v>0</v>
      </c>
      <c r="N182" s="53">
        <f t="shared" si="221"/>
        <v>188719.5</v>
      </c>
      <c r="O182" s="53">
        <f>O183+O187+O200</f>
        <v>6651.5</v>
      </c>
      <c r="P182" s="53">
        <f>P183+P187+P200</f>
        <v>182068</v>
      </c>
      <c r="Q182" s="53">
        <f>Q183+Q187+Q200</f>
        <v>0</v>
      </c>
      <c r="R182" s="53">
        <f t="shared" si="222"/>
        <v>456375.6</v>
      </c>
      <c r="S182" s="53">
        <f>S183+S187+S200</f>
        <v>14681.2</v>
      </c>
      <c r="T182" s="53">
        <f>T183+T187+T200</f>
        <v>441694.4</v>
      </c>
      <c r="U182" s="53">
        <f>U183+U187+U200</f>
        <v>0</v>
      </c>
      <c r="V182" s="54">
        <f t="shared" ref="V182:V212" si="223">J182/F182</f>
        <v>0.79600000000000004</v>
      </c>
      <c r="W182" s="2"/>
      <c r="X182" s="2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/>
    </row>
    <row r="183" spans="1:103" ht="75" customHeight="1">
      <c r="A183" s="12" t="s">
        <v>123</v>
      </c>
      <c r="B183" s="26" t="s">
        <v>345</v>
      </c>
      <c r="C183" s="40" t="s">
        <v>12</v>
      </c>
      <c r="D183" s="40" t="s">
        <v>12</v>
      </c>
      <c r="E183" s="40" t="s">
        <v>12</v>
      </c>
      <c r="F183" s="28">
        <f t="shared" ref="F183:F212" si="224">G183+H183+I183</f>
        <v>51838.6</v>
      </c>
      <c r="G183" s="29">
        <f>SUM(G185:G186)</f>
        <v>1555.1</v>
      </c>
      <c r="H183" s="29">
        <f>SUM(H185:H186)</f>
        <v>50283.5</v>
      </c>
      <c r="I183" s="29">
        <f>SUM(I185:I186)</f>
        <v>0</v>
      </c>
      <c r="J183" s="28">
        <f t="shared" si="220"/>
        <v>20910.900000000001</v>
      </c>
      <c r="K183" s="29">
        <f>SUM(K185:K186)</f>
        <v>627.4</v>
      </c>
      <c r="L183" s="29">
        <f>SUM(L185:L186)</f>
        <v>20283.5</v>
      </c>
      <c r="M183" s="29">
        <f>SUM(M185:M186)</f>
        <v>0</v>
      </c>
      <c r="N183" s="28">
        <f t="shared" si="221"/>
        <v>68390.7</v>
      </c>
      <c r="O183" s="29">
        <f>SUM(O185:O186)</f>
        <v>2051.6999999999998</v>
      </c>
      <c r="P183" s="29">
        <f>SUM(P185:P186)</f>
        <v>66339</v>
      </c>
      <c r="Q183" s="29">
        <f>SUM(Q185:Q186)</f>
        <v>0</v>
      </c>
      <c r="R183" s="28">
        <f t="shared" si="222"/>
        <v>85523.4</v>
      </c>
      <c r="S183" s="29">
        <f>SUM(S185:S186)</f>
        <v>2565.6</v>
      </c>
      <c r="T183" s="29">
        <f>SUM(T185:T186)</f>
        <v>82957.8</v>
      </c>
      <c r="U183" s="29">
        <f>SUM(U185:U186)</f>
        <v>0</v>
      </c>
      <c r="V183" s="30">
        <f t="shared" si="223"/>
        <v>0.40300000000000002</v>
      </c>
      <c r="W183" s="76" t="s">
        <v>360</v>
      </c>
      <c r="X183" s="2"/>
    </row>
    <row r="184" spans="1:103" ht="18.75">
      <c r="A184" s="15"/>
      <c r="B184" s="78" t="s">
        <v>15</v>
      </c>
      <c r="C184" s="67"/>
      <c r="D184" s="67"/>
      <c r="E184" s="67"/>
      <c r="F184" s="29"/>
      <c r="G184" s="29"/>
      <c r="H184" s="29"/>
      <c r="I184" s="29"/>
      <c r="J184" s="29"/>
      <c r="K184" s="29"/>
      <c r="L184" s="29"/>
      <c r="M184" s="29"/>
      <c r="N184" s="28"/>
      <c r="O184" s="29"/>
      <c r="P184" s="29"/>
      <c r="Q184" s="29"/>
      <c r="R184" s="28"/>
      <c r="S184" s="29"/>
      <c r="T184" s="29"/>
      <c r="U184" s="29"/>
      <c r="V184" s="41"/>
      <c r="W184" s="2"/>
      <c r="X184" s="2"/>
    </row>
    <row r="185" spans="1:103" ht="66.75" customHeight="1">
      <c r="A185" s="58"/>
      <c r="B185" s="59" t="s">
        <v>344</v>
      </c>
      <c r="C185" s="60">
        <v>840</v>
      </c>
      <c r="D185" s="61" t="s">
        <v>74</v>
      </c>
      <c r="E185" s="60" t="s">
        <v>138</v>
      </c>
      <c r="F185" s="85">
        <f t="shared" si="224"/>
        <v>30927.8</v>
      </c>
      <c r="G185" s="63">
        <f>1321.7+0.03-393.9</f>
        <v>927.8</v>
      </c>
      <c r="H185" s="63">
        <f>42736-12736</f>
        <v>30000</v>
      </c>
      <c r="I185" s="63"/>
      <c r="J185" s="85">
        <f t="shared" ref="J185:J187" si="225">K185+L185+M185</f>
        <v>0</v>
      </c>
      <c r="K185" s="63"/>
      <c r="L185" s="63"/>
      <c r="M185" s="63"/>
      <c r="N185" s="85">
        <f t="shared" ref="N185:N187" si="226">O185+P185+Q185</f>
        <v>59252.5</v>
      </c>
      <c r="O185" s="63">
        <v>1777.6</v>
      </c>
      <c r="P185" s="63">
        <v>57474.9</v>
      </c>
      <c r="Q185" s="63"/>
      <c r="R185" s="85">
        <f t="shared" ref="R185:R187" si="227">S185+T185+U185</f>
        <v>71408.2</v>
      </c>
      <c r="S185" s="63">
        <v>2142.1999999999998</v>
      </c>
      <c r="T185" s="63">
        <v>69266</v>
      </c>
      <c r="U185" s="63"/>
      <c r="V185" s="86">
        <f t="shared" si="223"/>
        <v>0</v>
      </c>
      <c r="W185" s="2"/>
      <c r="X185" s="2"/>
    </row>
    <row r="186" spans="1:103" ht="104.25" customHeight="1">
      <c r="A186" s="58"/>
      <c r="B186" s="59" t="s">
        <v>268</v>
      </c>
      <c r="C186" s="60">
        <v>840</v>
      </c>
      <c r="D186" s="61" t="s">
        <v>74</v>
      </c>
      <c r="E186" s="60" t="s">
        <v>269</v>
      </c>
      <c r="F186" s="85">
        <f t="shared" si="224"/>
        <v>20910.8</v>
      </c>
      <c r="G186" s="63">
        <f>233.4+0.03+393.9</f>
        <v>627.29999999999995</v>
      </c>
      <c r="H186" s="63">
        <f>7547.5+12736</f>
        <v>20283.5</v>
      </c>
      <c r="I186" s="63"/>
      <c r="J186" s="85">
        <f t="shared" si="225"/>
        <v>20910.900000000001</v>
      </c>
      <c r="K186" s="63">
        <f>593.6+33.8</f>
        <v>627.4</v>
      </c>
      <c r="L186" s="63">
        <f>19191.8+1091.7</f>
        <v>20283.5</v>
      </c>
      <c r="M186" s="63"/>
      <c r="N186" s="85">
        <f t="shared" si="226"/>
        <v>9138.2000000000007</v>
      </c>
      <c r="O186" s="63">
        <v>274.10000000000002</v>
      </c>
      <c r="P186" s="63">
        <v>8864.1</v>
      </c>
      <c r="Q186" s="63"/>
      <c r="R186" s="85">
        <f t="shared" si="227"/>
        <v>14115.2</v>
      </c>
      <c r="S186" s="63">
        <v>423.4</v>
      </c>
      <c r="T186" s="63">
        <v>13691.8</v>
      </c>
      <c r="U186" s="63"/>
      <c r="V186" s="86">
        <f t="shared" si="223"/>
        <v>1</v>
      </c>
      <c r="W186" s="2"/>
      <c r="X186" s="2"/>
    </row>
    <row r="187" spans="1:103" ht="42" customHeight="1">
      <c r="A187" s="12" t="s">
        <v>124</v>
      </c>
      <c r="B187" s="26" t="s">
        <v>125</v>
      </c>
      <c r="C187" s="40" t="s">
        <v>12</v>
      </c>
      <c r="D187" s="40" t="s">
        <v>12</v>
      </c>
      <c r="E187" s="40" t="s">
        <v>12</v>
      </c>
      <c r="F187" s="28">
        <f>G187+H187+I187</f>
        <v>143805.1</v>
      </c>
      <c r="G187" s="29">
        <f>SUM(G189:G199)</f>
        <v>5304</v>
      </c>
      <c r="H187" s="29">
        <f>SUM(H189:H199)</f>
        <v>138501.1</v>
      </c>
      <c r="I187" s="29">
        <f>SUM(I189:I199)</f>
        <v>0</v>
      </c>
      <c r="J187" s="28">
        <f t="shared" si="225"/>
        <v>134122.29999999999</v>
      </c>
      <c r="K187" s="29">
        <f>SUM(K189:K199)</f>
        <v>4518.5</v>
      </c>
      <c r="L187" s="29">
        <f t="shared" ref="L187:M187" si="228">SUM(L189:L199)</f>
        <v>129603.8</v>
      </c>
      <c r="M187" s="29">
        <f t="shared" si="228"/>
        <v>0</v>
      </c>
      <c r="N187" s="28">
        <f t="shared" si="226"/>
        <v>115245.3</v>
      </c>
      <c r="O187" s="29">
        <f>SUM(O189:O199)</f>
        <v>4447.3</v>
      </c>
      <c r="P187" s="29">
        <f>SUM(P189:P199)</f>
        <v>110798</v>
      </c>
      <c r="Q187" s="29">
        <f>SUM(Q189:Q199)</f>
        <v>0</v>
      </c>
      <c r="R187" s="28">
        <f t="shared" si="227"/>
        <v>364678.9</v>
      </c>
      <c r="S187" s="29">
        <f>SUM(S189:S199)</f>
        <v>11930.4</v>
      </c>
      <c r="T187" s="29">
        <f>SUM(T189:T199)</f>
        <v>352748.5</v>
      </c>
      <c r="U187" s="29">
        <f>SUM(U189:U199)</f>
        <v>0</v>
      </c>
      <c r="V187" s="30">
        <f t="shared" si="223"/>
        <v>0.93300000000000005</v>
      </c>
      <c r="W187" s="76" t="s">
        <v>360</v>
      </c>
      <c r="X187" s="2"/>
    </row>
    <row r="188" spans="1:103" ht="18.75">
      <c r="A188" s="15"/>
      <c r="B188" s="78" t="s">
        <v>15</v>
      </c>
      <c r="C188" s="67"/>
      <c r="D188" s="67"/>
      <c r="E188" s="67"/>
      <c r="F188" s="29"/>
      <c r="G188" s="29"/>
      <c r="H188" s="29"/>
      <c r="I188" s="29"/>
      <c r="J188" s="29"/>
      <c r="K188" s="29"/>
      <c r="L188" s="29"/>
      <c r="M188" s="29"/>
      <c r="N188" s="28"/>
      <c r="O188" s="29"/>
      <c r="P188" s="29"/>
      <c r="Q188" s="29"/>
      <c r="R188" s="28"/>
      <c r="S188" s="29"/>
      <c r="T188" s="29"/>
      <c r="U188" s="29"/>
      <c r="V188" s="41"/>
      <c r="W188" s="2"/>
      <c r="X188" s="2"/>
    </row>
    <row r="189" spans="1:103" ht="52.5" customHeight="1">
      <c r="A189" s="42"/>
      <c r="B189" s="44" t="s">
        <v>373</v>
      </c>
      <c r="C189" s="60">
        <v>817</v>
      </c>
      <c r="D189" s="61" t="s">
        <v>127</v>
      </c>
      <c r="E189" s="37" t="s">
        <v>340</v>
      </c>
      <c r="F189" s="29">
        <f t="shared" ref="F189" si="229">G189+H189+I189</f>
        <v>52125.1</v>
      </c>
      <c r="G189" s="34">
        <v>1563.7</v>
      </c>
      <c r="H189" s="34">
        <v>50561.4</v>
      </c>
      <c r="I189" s="34"/>
      <c r="J189" s="29">
        <f t="shared" ref="J189" si="230">K189+L189+M189</f>
        <v>42952.6</v>
      </c>
      <c r="K189" s="34">
        <f>900+15.4+200.4+172.7</f>
        <v>1288.5</v>
      </c>
      <c r="L189" s="34">
        <f>29100+499.5+6480+5584.6</f>
        <v>41664.1</v>
      </c>
      <c r="M189" s="34"/>
      <c r="N189" s="29">
        <f t="shared" ref="N189" si="231">O189+P189+Q189</f>
        <v>32564.6</v>
      </c>
      <c r="O189" s="34">
        <v>976.9</v>
      </c>
      <c r="P189" s="34">
        <v>31587.7</v>
      </c>
      <c r="Q189" s="34"/>
      <c r="R189" s="29">
        <f t="shared" ref="R189" si="232">S189+T189+U189</f>
        <v>45630.3</v>
      </c>
      <c r="S189" s="34">
        <v>1368.9</v>
      </c>
      <c r="T189" s="34">
        <v>44261.4</v>
      </c>
      <c r="U189" s="34"/>
      <c r="V189" s="75">
        <f t="shared" ref="V189" si="233">J189/F189</f>
        <v>0.82399999999999995</v>
      </c>
      <c r="W189" s="2"/>
      <c r="X189" s="2"/>
    </row>
    <row r="190" spans="1:103" ht="55.5" customHeight="1">
      <c r="A190" s="42"/>
      <c r="B190" s="44" t="s">
        <v>277</v>
      </c>
      <c r="C190" s="60">
        <v>817</v>
      </c>
      <c r="D190" s="61" t="s">
        <v>127</v>
      </c>
      <c r="E190" s="37" t="s">
        <v>278</v>
      </c>
      <c r="F190" s="29">
        <f t="shared" si="224"/>
        <v>0</v>
      </c>
      <c r="G190" s="34">
        <f>1164.5-1164.5</f>
        <v>0</v>
      </c>
      <c r="H190" s="34">
        <f>37653.5-37653.5</f>
        <v>0</v>
      </c>
      <c r="I190" s="34"/>
      <c r="J190" s="29">
        <f t="shared" ref="J190:J199" si="234">K190+L190+M190</f>
        <v>0</v>
      </c>
      <c r="K190" s="34"/>
      <c r="L190" s="34"/>
      <c r="M190" s="34"/>
      <c r="N190" s="29">
        <f t="shared" ref="N190:N199" si="235">O190+P190+Q190</f>
        <v>0</v>
      </c>
      <c r="O190" s="34">
        <f>677.8-677.8</f>
        <v>0</v>
      </c>
      <c r="P190" s="34">
        <f>21915.4-21915.4</f>
        <v>0</v>
      </c>
      <c r="Q190" s="34"/>
      <c r="R190" s="29">
        <f t="shared" ref="R190:R199" si="236">S190+T190+U190</f>
        <v>0</v>
      </c>
      <c r="S190" s="34">
        <f>862.2-862.2</f>
        <v>0</v>
      </c>
      <c r="T190" s="34">
        <f>27879.05-27879.05</f>
        <v>0</v>
      </c>
      <c r="U190" s="34"/>
      <c r="V190" s="75">
        <v>0</v>
      </c>
      <c r="W190" s="2"/>
      <c r="X190" s="2"/>
      <c r="Z190" s="19"/>
    </row>
    <row r="191" spans="1:103" ht="67.5" customHeight="1">
      <c r="A191" s="42"/>
      <c r="B191" s="44" t="s">
        <v>128</v>
      </c>
      <c r="C191" s="60">
        <v>817</v>
      </c>
      <c r="D191" s="61" t="s">
        <v>127</v>
      </c>
      <c r="E191" s="37" t="s">
        <v>279</v>
      </c>
      <c r="F191" s="29">
        <f t="shared" si="224"/>
        <v>0</v>
      </c>
      <c r="G191" s="34">
        <f>92.8-92.8</f>
        <v>0</v>
      </c>
      <c r="H191" s="34">
        <f>3000-3000</f>
        <v>0</v>
      </c>
      <c r="I191" s="34"/>
      <c r="J191" s="29">
        <f t="shared" si="234"/>
        <v>0</v>
      </c>
      <c r="K191" s="34"/>
      <c r="L191" s="34"/>
      <c r="M191" s="34"/>
      <c r="N191" s="29">
        <f t="shared" si="235"/>
        <v>0</v>
      </c>
      <c r="O191" s="34">
        <f>92.8-92.8</f>
        <v>0</v>
      </c>
      <c r="P191" s="34">
        <f>3000-3000</f>
        <v>0</v>
      </c>
      <c r="Q191" s="34"/>
      <c r="R191" s="29">
        <f t="shared" si="236"/>
        <v>0</v>
      </c>
      <c r="S191" s="34">
        <f>92.8-92.8</f>
        <v>0</v>
      </c>
      <c r="T191" s="34">
        <f>3000-3000</f>
        <v>0</v>
      </c>
      <c r="U191" s="34"/>
      <c r="V191" s="75">
        <v>0</v>
      </c>
      <c r="W191" s="2"/>
      <c r="X191" s="2"/>
    </row>
    <row r="192" spans="1:103" ht="46.5" customHeight="1">
      <c r="A192" s="42"/>
      <c r="B192" s="44" t="s">
        <v>144</v>
      </c>
      <c r="C192" s="60">
        <v>817</v>
      </c>
      <c r="D192" s="61" t="s">
        <v>127</v>
      </c>
      <c r="E192" s="37" t="s">
        <v>280</v>
      </c>
      <c r="F192" s="29">
        <f t="shared" si="224"/>
        <v>0</v>
      </c>
      <c r="G192" s="34">
        <f>306.4-306.4</f>
        <v>0</v>
      </c>
      <c r="H192" s="34">
        <f>9907.85-9907.85</f>
        <v>0</v>
      </c>
      <c r="I192" s="34"/>
      <c r="J192" s="29">
        <f t="shared" si="234"/>
        <v>0</v>
      </c>
      <c r="K192" s="34"/>
      <c r="L192" s="34"/>
      <c r="M192" s="34"/>
      <c r="N192" s="29">
        <f t="shared" si="235"/>
        <v>0</v>
      </c>
      <c r="O192" s="34">
        <f>206.36-206.36</f>
        <v>0</v>
      </c>
      <c r="P192" s="34">
        <f>6672.3-6672.3</f>
        <v>0</v>
      </c>
      <c r="Q192" s="34"/>
      <c r="R192" s="29">
        <f t="shared" si="236"/>
        <v>0</v>
      </c>
      <c r="S192" s="34">
        <f>413.9-413.9</f>
        <v>0</v>
      </c>
      <c r="T192" s="34">
        <f>13382.35-13382.35</f>
        <v>0</v>
      </c>
      <c r="U192" s="34"/>
      <c r="V192" s="75">
        <v>0</v>
      </c>
      <c r="W192" s="2"/>
      <c r="X192" s="2"/>
    </row>
    <row r="193" spans="1:103" ht="67.5" customHeight="1">
      <c r="A193" s="42"/>
      <c r="B193" s="44" t="s">
        <v>128</v>
      </c>
      <c r="C193" s="60">
        <v>817</v>
      </c>
      <c r="D193" s="61" t="s">
        <v>127</v>
      </c>
      <c r="E193" s="37" t="s">
        <v>281</v>
      </c>
      <c r="F193" s="29">
        <f t="shared" si="224"/>
        <v>1020.5</v>
      </c>
      <c r="G193" s="34">
        <v>1020.5</v>
      </c>
      <c r="H193" s="34">
        <v>0</v>
      </c>
      <c r="I193" s="34"/>
      <c r="J193" s="29">
        <f t="shared" si="234"/>
        <v>510.3</v>
      </c>
      <c r="K193" s="34">
        <f>170.1+170.1+170.1</f>
        <v>510.3</v>
      </c>
      <c r="L193" s="34"/>
      <c r="M193" s="34"/>
      <c r="N193" s="29">
        <f t="shared" si="235"/>
        <v>1020.6</v>
      </c>
      <c r="O193" s="34">
        <v>1020.6</v>
      </c>
      <c r="P193" s="34">
        <v>0</v>
      </c>
      <c r="Q193" s="34"/>
      <c r="R193" s="29">
        <f t="shared" si="236"/>
        <v>1020.6</v>
      </c>
      <c r="S193" s="34">
        <v>1020.6</v>
      </c>
      <c r="T193" s="34">
        <v>0</v>
      </c>
      <c r="U193" s="34"/>
      <c r="V193" s="75">
        <f t="shared" si="223"/>
        <v>0.5</v>
      </c>
      <c r="W193" s="2"/>
      <c r="X193" s="2"/>
    </row>
    <row r="194" spans="1:103" ht="73.5" customHeight="1">
      <c r="A194" s="42"/>
      <c r="B194" s="44" t="s">
        <v>270</v>
      </c>
      <c r="C194" s="60">
        <v>840</v>
      </c>
      <c r="D194" s="61" t="s">
        <v>74</v>
      </c>
      <c r="E194" s="37" t="s">
        <v>271</v>
      </c>
      <c r="F194" s="29">
        <f t="shared" si="224"/>
        <v>30089.200000000001</v>
      </c>
      <c r="G194" s="34">
        <f>902.7+0.02</f>
        <v>902.7</v>
      </c>
      <c r="H194" s="34">
        <v>29186.5</v>
      </c>
      <c r="I194" s="34"/>
      <c r="J194" s="29">
        <f t="shared" si="234"/>
        <v>30089.200000000001</v>
      </c>
      <c r="K194" s="34">
        <v>902.7</v>
      </c>
      <c r="L194" s="34">
        <v>29186.5</v>
      </c>
      <c r="M194" s="34"/>
      <c r="N194" s="29">
        <f t="shared" si="235"/>
        <v>13927</v>
      </c>
      <c r="O194" s="34">
        <v>417.8</v>
      </c>
      <c r="P194" s="34">
        <v>13509.2</v>
      </c>
      <c r="Q194" s="34"/>
      <c r="R194" s="29">
        <f t="shared" si="236"/>
        <v>30375.7</v>
      </c>
      <c r="S194" s="34">
        <v>911.3</v>
      </c>
      <c r="T194" s="34">
        <v>29464.400000000001</v>
      </c>
      <c r="U194" s="34"/>
      <c r="V194" s="75">
        <f t="shared" si="223"/>
        <v>1</v>
      </c>
      <c r="W194" s="2"/>
      <c r="X194" s="2"/>
    </row>
    <row r="195" spans="1:103" ht="72" customHeight="1">
      <c r="A195" s="42"/>
      <c r="B195" s="44" t="s">
        <v>272</v>
      </c>
      <c r="C195" s="60">
        <v>840</v>
      </c>
      <c r="D195" s="61" t="s">
        <v>74</v>
      </c>
      <c r="E195" s="37" t="s">
        <v>273</v>
      </c>
      <c r="F195" s="29">
        <f t="shared" si="224"/>
        <v>0</v>
      </c>
      <c r="G195" s="34">
        <f>1173.1-1173.1</f>
        <v>0</v>
      </c>
      <c r="H195" s="34"/>
      <c r="I195" s="34"/>
      <c r="J195" s="29">
        <f t="shared" si="234"/>
        <v>0</v>
      </c>
      <c r="K195" s="34"/>
      <c r="L195" s="34"/>
      <c r="M195" s="34"/>
      <c r="N195" s="29">
        <f t="shared" si="235"/>
        <v>46267.8</v>
      </c>
      <c r="O195" s="34">
        <v>1388</v>
      </c>
      <c r="P195" s="34">
        <v>44879.8</v>
      </c>
      <c r="Q195" s="34"/>
      <c r="R195" s="29">
        <f t="shared" si="236"/>
        <v>85774.6</v>
      </c>
      <c r="S195" s="34">
        <v>2573.1999999999998</v>
      </c>
      <c r="T195" s="34">
        <v>83201.399999999994</v>
      </c>
      <c r="U195" s="34"/>
      <c r="V195" s="75">
        <v>0</v>
      </c>
      <c r="W195" s="2"/>
      <c r="X195" s="2"/>
    </row>
    <row r="196" spans="1:103" ht="60.75" customHeight="1">
      <c r="A196" s="42"/>
      <c r="B196" s="44" t="s">
        <v>272</v>
      </c>
      <c r="C196" s="60">
        <v>801</v>
      </c>
      <c r="D196" s="61" t="s">
        <v>339</v>
      </c>
      <c r="E196" s="37" t="s">
        <v>273</v>
      </c>
      <c r="F196" s="29">
        <f t="shared" ref="F196" si="237">G196+H196+I196</f>
        <v>39105</v>
      </c>
      <c r="G196" s="34">
        <v>1173.0999999999999</v>
      </c>
      <c r="H196" s="34">
        <v>37931.9</v>
      </c>
      <c r="I196" s="34"/>
      <c r="J196" s="29">
        <f t="shared" ref="J196" si="238">K196+L196+M196</f>
        <v>39105</v>
      </c>
      <c r="K196" s="34">
        <v>1173.0999999999999</v>
      </c>
      <c r="L196" s="34">
        <v>37931.9</v>
      </c>
      <c r="M196" s="34"/>
      <c r="N196" s="29">
        <f t="shared" ref="N196" si="239">O196+P196+Q196</f>
        <v>0</v>
      </c>
      <c r="O196" s="34"/>
      <c r="P196" s="34"/>
      <c r="Q196" s="34"/>
      <c r="R196" s="29">
        <f t="shared" ref="R196" si="240">S196+T196+U196</f>
        <v>0</v>
      </c>
      <c r="S196" s="34"/>
      <c r="T196" s="34"/>
      <c r="U196" s="34"/>
      <c r="V196" s="75">
        <f t="shared" ref="V196" si="241">J196/F196</f>
        <v>1</v>
      </c>
      <c r="W196" s="2"/>
      <c r="X196" s="2"/>
    </row>
    <row r="197" spans="1:103" ht="73.5" customHeight="1">
      <c r="A197" s="42"/>
      <c r="B197" s="44" t="s">
        <v>274</v>
      </c>
      <c r="C197" s="60">
        <v>840</v>
      </c>
      <c r="D197" s="61" t="s">
        <v>74</v>
      </c>
      <c r="E197" s="37" t="s">
        <v>275</v>
      </c>
      <c r="F197" s="29">
        <f t="shared" si="224"/>
        <v>0</v>
      </c>
      <c r="G197" s="34"/>
      <c r="H197" s="34"/>
      <c r="I197" s="34"/>
      <c r="J197" s="29">
        <f t="shared" si="234"/>
        <v>0</v>
      </c>
      <c r="K197" s="34"/>
      <c r="L197" s="34"/>
      <c r="M197" s="34"/>
      <c r="N197" s="29">
        <f t="shared" si="235"/>
        <v>0</v>
      </c>
      <c r="O197" s="34"/>
      <c r="P197" s="34"/>
      <c r="Q197" s="34"/>
      <c r="R197" s="29">
        <f t="shared" si="236"/>
        <v>180412.4</v>
      </c>
      <c r="S197" s="34">
        <v>5412.4</v>
      </c>
      <c r="T197" s="34">
        <v>175000</v>
      </c>
      <c r="U197" s="34"/>
      <c r="V197" s="75">
        <v>0</v>
      </c>
      <c r="W197" s="2"/>
      <c r="X197" s="2"/>
    </row>
    <row r="198" spans="1:103" ht="98.25" customHeight="1">
      <c r="A198" s="42"/>
      <c r="B198" s="44" t="s">
        <v>140</v>
      </c>
      <c r="C198" s="37">
        <v>840</v>
      </c>
      <c r="D198" s="38" t="s">
        <v>74</v>
      </c>
      <c r="E198" s="37" t="s">
        <v>139</v>
      </c>
      <c r="F198" s="29">
        <f t="shared" si="224"/>
        <v>2577.4</v>
      </c>
      <c r="G198" s="34">
        <f>108.3-30.9</f>
        <v>77.400000000000006</v>
      </c>
      <c r="H198" s="34">
        <f>3500-1000</f>
        <v>2500</v>
      </c>
      <c r="I198" s="34"/>
      <c r="J198" s="29">
        <f t="shared" si="234"/>
        <v>2577.3000000000002</v>
      </c>
      <c r="K198" s="34">
        <v>77.3</v>
      </c>
      <c r="L198" s="34">
        <v>2500</v>
      </c>
      <c r="M198" s="34"/>
      <c r="N198" s="29">
        <f t="shared" si="235"/>
        <v>0</v>
      </c>
      <c r="O198" s="34"/>
      <c r="P198" s="34"/>
      <c r="Q198" s="34"/>
      <c r="R198" s="29">
        <f t="shared" si="236"/>
        <v>0</v>
      </c>
      <c r="S198" s="34"/>
      <c r="T198" s="34"/>
      <c r="U198" s="34"/>
      <c r="V198" s="75">
        <f t="shared" si="223"/>
        <v>1</v>
      </c>
      <c r="W198" s="2"/>
      <c r="X198" s="2"/>
    </row>
    <row r="199" spans="1:103" ht="72" customHeight="1">
      <c r="A199" s="42"/>
      <c r="B199" s="44" t="s">
        <v>308</v>
      </c>
      <c r="C199" s="37">
        <v>840</v>
      </c>
      <c r="D199" s="38" t="s">
        <v>74</v>
      </c>
      <c r="E199" s="37" t="s">
        <v>240</v>
      </c>
      <c r="F199" s="29">
        <f t="shared" si="224"/>
        <v>18887.900000000001</v>
      </c>
      <c r="G199" s="34">
        <f>535.7+0.01+30.9</f>
        <v>566.6</v>
      </c>
      <c r="H199" s="34">
        <f>17321.3+1000</f>
        <v>18321.3</v>
      </c>
      <c r="I199" s="34"/>
      <c r="J199" s="29">
        <f t="shared" si="234"/>
        <v>18887.900000000001</v>
      </c>
      <c r="K199" s="34">
        <v>566.6</v>
      </c>
      <c r="L199" s="34">
        <v>18321.3</v>
      </c>
      <c r="M199" s="34"/>
      <c r="N199" s="29">
        <f t="shared" si="235"/>
        <v>21465.3</v>
      </c>
      <c r="O199" s="34">
        <v>644</v>
      </c>
      <c r="P199" s="34">
        <v>20821.3</v>
      </c>
      <c r="Q199" s="34"/>
      <c r="R199" s="29">
        <f t="shared" si="236"/>
        <v>21465.3</v>
      </c>
      <c r="S199" s="34">
        <v>644</v>
      </c>
      <c r="T199" s="34">
        <v>20821.3</v>
      </c>
      <c r="U199" s="34"/>
      <c r="V199" s="75">
        <f t="shared" si="223"/>
        <v>1</v>
      </c>
      <c r="W199" s="2"/>
      <c r="X199" s="2"/>
    </row>
    <row r="200" spans="1:103" ht="72" customHeight="1">
      <c r="A200" s="12" t="s">
        <v>126</v>
      </c>
      <c r="B200" s="26" t="s">
        <v>266</v>
      </c>
      <c r="C200" s="40" t="s">
        <v>12</v>
      </c>
      <c r="D200" s="87" t="s">
        <v>12</v>
      </c>
      <c r="E200" s="40" t="s">
        <v>12</v>
      </c>
      <c r="F200" s="28">
        <f t="shared" si="224"/>
        <v>3265.3</v>
      </c>
      <c r="G200" s="29">
        <f t="shared" ref="G200:T200" si="242">G202</f>
        <v>98</v>
      </c>
      <c r="H200" s="29">
        <f t="shared" si="242"/>
        <v>3167.3</v>
      </c>
      <c r="I200" s="29">
        <f t="shared" ref="I200" si="243">I202</f>
        <v>0</v>
      </c>
      <c r="J200" s="28">
        <f t="shared" ref="J200" si="244">K200+L200+M200</f>
        <v>3265.3</v>
      </c>
      <c r="K200" s="29">
        <f t="shared" ref="K200:M200" si="245">K202</f>
        <v>98</v>
      </c>
      <c r="L200" s="29">
        <f t="shared" si="245"/>
        <v>3167.3</v>
      </c>
      <c r="M200" s="29">
        <f t="shared" si="245"/>
        <v>0</v>
      </c>
      <c r="N200" s="28">
        <f t="shared" ref="N200" si="246">O200+P200+Q200</f>
        <v>5083.5</v>
      </c>
      <c r="O200" s="29">
        <f t="shared" si="242"/>
        <v>152.5</v>
      </c>
      <c r="P200" s="29">
        <f t="shared" si="242"/>
        <v>4931</v>
      </c>
      <c r="Q200" s="29">
        <f t="shared" si="242"/>
        <v>0</v>
      </c>
      <c r="R200" s="28">
        <f t="shared" ref="R200" si="247">S200+T200+U200</f>
        <v>6173.3</v>
      </c>
      <c r="S200" s="29">
        <f t="shared" si="242"/>
        <v>185.2</v>
      </c>
      <c r="T200" s="29">
        <f t="shared" si="242"/>
        <v>5988.1</v>
      </c>
      <c r="U200" s="29">
        <f t="shared" ref="U200" si="248">U202</f>
        <v>0</v>
      </c>
      <c r="V200" s="30">
        <f t="shared" si="223"/>
        <v>1</v>
      </c>
      <c r="W200" s="76" t="s">
        <v>360</v>
      </c>
      <c r="X200" s="2"/>
    </row>
    <row r="201" spans="1:103" ht="18.75">
      <c r="A201" s="42"/>
      <c r="B201" s="44" t="s">
        <v>15</v>
      </c>
      <c r="C201" s="33"/>
      <c r="D201" s="45"/>
      <c r="E201" s="33"/>
      <c r="F201" s="29"/>
      <c r="G201" s="34"/>
      <c r="H201" s="34"/>
      <c r="I201" s="34"/>
      <c r="J201" s="29"/>
      <c r="K201" s="34"/>
      <c r="L201" s="34"/>
      <c r="M201" s="34"/>
      <c r="N201" s="29"/>
      <c r="O201" s="34"/>
      <c r="P201" s="34"/>
      <c r="Q201" s="34"/>
      <c r="R201" s="29"/>
      <c r="S201" s="34"/>
      <c r="T201" s="34"/>
      <c r="U201" s="34"/>
      <c r="V201" s="75"/>
      <c r="W201" s="2"/>
      <c r="X201" s="2"/>
    </row>
    <row r="202" spans="1:103" ht="87" customHeight="1">
      <c r="A202" s="42"/>
      <c r="B202" s="44" t="s">
        <v>267</v>
      </c>
      <c r="C202" s="37">
        <v>840</v>
      </c>
      <c r="D202" s="38" t="s">
        <v>74</v>
      </c>
      <c r="E202" s="37" t="s">
        <v>265</v>
      </c>
      <c r="F202" s="29">
        <f t="shared" si="224"/>
        <v>3265.3</v>
      </c>
      <c r="G202" s="34">
        <f>98-0.04</f>
        <v>98</v>
      </c>
      <c r="H202" s="34">
        <v>3167.3</v>
      </c>
      <c r="I202" s="34"/>
      <c r="J202" s="29">
        <f t="shared" ref="J202:J204" si="249">K202+L202+M202</f>
        <v>3265.3</v>
      </c>
      <c r="K202" s="34">
        <v>98</v>
      </c>
      <c r="L202" s="34">
        <v>3167.3</v>
      </c>
      <c r="M202" s="34"/>
      <c r="N202" s="29">
        <f t="shared" ref="N202:N204" si="250">O202+P202+Q202</f>
        <v>5083.5</v>
      </c>
      <c r="O202" s="34">
        <v>152.5</v>
      </c>
      <c r="P202" s="34">
        <v>4931</v>
      </c>
      <c r="Q202" s="34"/>
      <c r="R202" s="29">
        <f t="shared" ref="R202:R204" si="251">S202+T202+U202</f>
        <v>6173.3</v>
      </c>
      <c r="S202" s="34">
        <v>185.2</v>
      </c>
      <c r="T202" s="34">
        <v>5988.1</v>
      </c>
      <c r="U202" s="34"/>
      <c r="V202" s="75">
        <f t="shared" si="223"/>
        <v>1</v>
      </c>
      <c r="W202" s="2"/>
      <c r="X202" s="2"/>
    </row>
    <row r="203" spans="1:103" s="83" customFormat="1" ht="51.75" customHeight="1">
      <c r="A203" s="20" t="s">
        <v>129</v>
      </c>
      <c r="B203" s="72" t="s">
        <v>130</v>
      </c>
      <c r="C203" s="22" t="s">
        <v>12</v>
      </c>
      <c r="D203" s="22" t="s">
        <v>12</v>
      </c>
      <c r="E203" s="22" t="s">
        <v>12</v>
      </c>
      <c r="F203" s="53">
        <f t="shared" si="224"/>
        <v>18923.7</v>
      </c>
      <c r="G203" s="53">
        <f>G204</f>
        <v>6914</v>
      </c>
      <c r="H203" s="53">
        <f>H204</f>
        <v>12009.7</v>
      </c>
      <c r="I203" s="53">
        <f>I204</f>
        <v>0</v>
      </c>
      <c r="J203" s="53">
        <f t="shared" si="249"/>
        <v>15763.4</v>
      </c>
      <c r="K203" s="53">
        <f>K204</f>
        <v>4834.3</v>
      </c>
      <c r="L203" s="53">
        <f>L204</f>
        <v>10929.1</v>
      </c>
      <c r="M203" s="53">
        <f>M204</f>
        <v>0</v>
      </c>
      <c r="N203" s="53">
        <f t="shared" si="250"/>
        <v>1500</v>
      </c>
      <c r="O203" s="53">
        <f>O204</f>
        <v>1500</v>
      </c>
      <c r="P203" s="53">
        <f>P204</f>
        <v>0</v>
      </c>
      <c r="Q203" s="53">
        <f>Q204</f>
        <v>0</v>
      </c>
      <c r="R203" s="53">
        <f t="shared" si="251"/>
        <v>1500</v>
      </c>
      <c r="S203" s="53">
        <f>S204</f>
        <v>1500</v>
      </c>
      <c r="T203" s="53">
        <f>T204</f>
        <v>0</v>
      </c>
      <c r="U203" s="53">
        <f>U204</f>
        <v>0</v>
      </c>
      <c r="V203" s="54">
        <f t="shared" si="223"/>
        <v>0.83299999999999996</v>
      </c>
      <c r="W203" s="2"/>
      <c r="X203" s="2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CY203" s="4"/>
    </row>
    <row r="204" spans="1:103" ht="64.5" customHeight="1">
      <c r="A204" s="12" t="s">
        <v>131</v>
      </c>
      <c r="B204" s="26" t="s">
        <v>132</v>
      </c>
      <c r="C204" s="40" t="s">
        <v>12</v>
      </c>
      <c r="D204" s="40" t="s">
        <v>12</v>
      </c>
      <c r="E204" s="40" t="s">
        <v>12</v>
      </c>
      <c r="F204" s="29">
        <f t="shared" si="224"/>
        <v>18923.7</v>
      </c>
      <c r="G204" s="29">
        <f>SUM(G206:G207)</f>
        <v>6914</v>
      </c>
      <c r="H204" s="29">
        <f>SUM(H206:H207)</f>
        <v>12009.7</v>
      </c>
      <c r="I204" s="29">
        <f>SUM(I206:I207)</f>
        <v>0</v>
      </c>
      <c r="J204" s="29">
        <f t="shared" si="249"/>
        <v>15763.4</v>
      </c>
      <c r="K204" s="29">
        <f>SUM(K206:K207)</f>
        <v>4834.3</v>
      </c>
      <c r="L204" s="29">
        <f>SUM(L206:L207)</f>
        <v>10929.1</v>
      </c>
      <c r="M204" s="29">
        <f>SUM(M206:M207)</f>
        <v>0</v>
      </c>
      <c r="N204" s="28">
        <f t="shared" si="250"/>
        <v>1500</v>
      </c>
      <c r="O204" s="29">
        <f>SUM(O206:O207)</f>
        <v>1500</v>
      </c>
      <c r="P204" s="29">
        <f>SUM(P206:P207)</f>
        <v>0</v>
      </c>
      <c r="Q204" s="29">
        <f>SUM(Q206:Q207)</f>
        <v>0</v>
      </c>
      <c r="R204" s="28">
        <f t="shared" si="251"/>
        <v>1500</v>
      </c>
      <c r="S204" s="29">
        <f>SUM(S206:S207)</f>
        <v>1500</v>
      </c>
      <c r="T204" s="29">
        <f>SUM(T206:T207)</f>
        <v>0</v>
      </c>
      <c r="U204" s="29">
        <f>SUM(U206:U207)</f>
        <v>0</v>
      </c>
      <c r="V204" s="41">
        <f t="shared" si="223"/>
        <v>0.83299999999999996</v>
      </c>
      <c r="W204" s="46" t="s">
        <v>374</v>
      </c>
      <c r="X204" s="2"/>
    </row>
    <row r="205" spans="1:103" ht="18.75">
      <c r="A205" s="42"/>
      <c r="B205" s="73" t="s">
        <v>15</v>
      </c>
      <c r="C205" s="33"/>
      <c r="D205" s="33"/>
      <c r="E205" s="33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41"/>
      <c r="W205" s="2"/>
      <c r="X205" s="2"/>
    </row>
    <row r="206" spans="1:103" ht="66">
      <c r="A206" s="42"/>
      <c r="B206" s="44" t="s">
        <v>141</v>
      </c>
      <c r="C206" s="37">
        <v>840</v>
      </c>
      <c r="D206" s="38" t="s">
        <v>74</v>
      </c>
      <c r="E206" s="37" t="s">
        <v>142</v>
      </c>
      <c r="F206" s="29">
        <f t="shared" si="224"/>
        <v>16423.7</v>
      </c>
      <c r="G206" s="34">
        <f>1500+2914</f>
        <v>4414</v>
      </c>
      <c r="H206" s="34">
        <v>12009.7</v>
      </c>
      <c r="I206" s="34"/>
      <c r="J206" s="29">
        <f t="shared" ref="J206:J207" si="252">K206+L206+M206</f>
        <v>15343.1</v>
      </c>
      <c r="K206" s="34">
        <f>1500+2914</f>
        <v>4414</v>
      </c>
      <c r="L206" s="34">
        <v>10929.1</v>
      </c>
      <c r="M206" s="34"/>
      <c r="N206" s="29">
        <f t="shared" ref="N206:N207" si="253">O206+P206+Q206</f>
        <v>1500</v>
      </c>
      <c r="O206" s="34">
        <v>1500</v>
      </c>
      <c r="P206" s="34"/>
      <c r="Q206" s="34"/>
      <c r="R206" s="29">
        <f t="shared" ref="R206:R207" si="254">S206+T206+U206</f>
        <v>1500</v>
      </c>
      <c r="S206" s="34">
        <v>1500</v>
      </c>
      <c r="T206" s="34"/>
      <c r="U206" s="34"/>
      <c r="V206" s="75">
        <f t="shared" si="223"/>
        <v>0.93400000000000005</v>
      </c>
      <c r="W206" s="2"/>
      <c r="X206" s="2"/>
    </row>
    <row r="207" spans="1:103" ht="42" customHeight="1">
      <c r="A207" s="42"/>
      <c r="B207" s="44" t="s">
        <v>229</v>
      </c>
      <c r="C207" s="37">
        <v>816</v>
      </c>
      <c r="D207" s="38" t="s">
        <v>53</v>
      </c>
      <c r="E207" s="37" t="s">
        <v>230</v>
      </c>
      <c r="F207" s="29">
        <f t="shared" si="224"/>
        <v>2500</v>
      </c>
      <c r="G207" s="34">
        <v>2500</v>
      </c>
      <c r="H207" s="34"/>
      <c r="I207" s="34"/>
      <c r="J207" s="29">
        <f t="shared" si="252"/>
        <v>420.3</v>
      </c>
      <c r="K207" s="34">
        <f>5.2+415.1</f>
        <v>420.3</v>
      </c>
      <c r="L207" s="34"/>
      <c r="M207" s="34"/>
      <c r="N207" s="29">
        <f t="shared" si="253"/>
        <v>0</v>
      </c>
      <c r="O207" s="34"/>
      <c r="P207" s="34"/>
      <c r="Q207" s="34"/>
      <c r="R207" s="29">
        <f t="shared" si="254"/>
        <v>0</v>
      </c>
      <c r="S207" s="34"/>
      <c r="T207" s="34"/>
      <c r="U207" s="34"/>
      <c r="V207" s="75">
        <f t="shared" si="223"/>
        <v>0.16800000000000001</v>
      </c>
      <c r="W207" s="2"/>
      <c r="X207" s="2"/>
    </row>
    <row r="208" spans="1:103" s="83" customFormat="1" ht="42.75" customHeight="1">
      <c r="A208" s="72">
        <v>11</v>
      </c>
      <c r="B208" s="72" t="s">
        <v>259</v>
      </c>
      <c r="C208" s="22" t="s">
        <v>12</v>
      </c>
      <c r="D208" s="22" t="s">
        <v>12</v>
      </c>
      <c r="E208" s="88" t="s">
        <v>12</v>
      </c>
      <c r="F208" s="53">
        <f t="shared" si="224"/>
        <v>29989.1</v>
      </c>
      <c r="G208" s="53">
        <f>G209</f>
        <v>899.7</v>
      </c>
      <c r="H208" s="53">
        <f>H209</f>
        <v>29089.4</v>
      </c>
      <c r="I208" s="53">
        <f>I209</f>
        <v>0</v>
      </c>
      <c r="J208" s="53">
        <f t="shared" ref="J208:J209" si="255">K208+L208+M208</f>
        <v>0</v>
      </c>
      <c r="K208" s="53">
        <f>K209</f>
        <v>0</v>
      </c>
      <c r="L208" s="53">
        <f>L209</f>
        <v>0</v>
      </c>
      <c r="M208" s="53">
        <f>M209</f>
        <v>0</v>
      </c>
      <c r="N208" s="53">
        <f t="shared" ref="N208:N209" si="256">O208+P208+Q208</f>
        <v>36758.400000000001</v>
      </c>
      <c r="O208" s="53">
        <f>O209</f>
        <v>2602.8000000000002</v>
      </c>
      <c r="P208" s="53">
        <f>P209</f>
        <v>34155.599999999999</v>
      </c>
      <c r="Q208" s="53">
        <f>Q209</f>
        <v>0</v>
      </c>
      <c r="R208" s="53">
        <f t="shared" ref="R208:R209" si="257">S208+T208+U208</f>
        <v>32179</v>
      </c>
      <c r="S208" s="53">
        <f>S209</f>
        <v>965.4</v>
      </c>
      <c r="T208" s="53">
        <f>T209</f>
        <v>31213.599999999999</v>
      </c>
      <c r="U208" s="53">
        <f>U209</f>
        <v>0</v>
      </c>
      <c r="V208" s="54">
        <f t="shared" si="223"/>
        <v>0</v>
      </c>
      <c r="W208" s="2"/>
      <c r="X208" s="2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</row>
    <row r="209" spans="1:103" s="9" customFormat="1" ht="39" customHeight="1">
      <c r="A209" s="25" t="s">
        <v>145</v>
      </c>
      <c r="B209" s="57" t="s">
        <v>146</v>
      </c>
      <c r="C209" s="27" t="s">
        <v>12</v>
      </c>
      <c r="D209" s="27" t="s">
        <v>12</v>
      </c>
      <c r="E209" s="27" t="s">
        <v>12</v>
      </c>
      <c r="F209" s="29">
        <f t="shared" si="224"/>
        <v>29989.1</v>
      </c>
      <c r="G209" s="29">
        <f t="shared" ref="G209:H209" si="258">SUM(G211:G212)</f>
        <v>899.7</v>
      </c>
      <c r="H209" s="29">
        <f t="shared" si="258"/>
        <v>29089.4</v>
      </c>
      <c r="I209" s="29">
        <f t="shared" ref="I209" si="259">SUM(I211:I212)</f>
        <v>0</v>
      </c>
      <c r="J209" s="29">
        <f t="shared" si="255"/>
        <v>0</v>
      </c>
      <c r="K209" s="29">
        <f t="shared" ref="K209:M209" si="260">SUM(K211:K212)</f>
        <v>0</v>
      </c>
      <c r="L209" s="29">
        <f t="shared" si="260"/>
        <v>0</v>
      </c>
      <c r="M209" s="29">
        <f t="shared" si="260"/>
        <v>0</v>
      </c>
      <c r="N209" s="29">
        <f t="shared" si="256"/>
        <v>36758.400000000001</v>
      </c>
      <c r="O209" s="29">
        <f t="shared" ref="O209:T209" si="261">SUM(O211:O212)</f>
        <v>2602.8000000000002</v>
      </c>
      <c r="P209" s="29">
        <f t="shared" si="261"/>
        <v>34155.599999999999</v>
      </c>
      <c r="Q209" s="29">
        <f t="shared" si="261"/>
        <v>0</v>
      </c>
      <c r="R209" s="29">
        <f t="shared" si="257"/>
        <v>32179</v>
      </c>
      <c r="S209" s="29">
        <f t="shared" si="261"/>
        <v>965.4</v>
      </c>
      <c r="T209" s="29">
        <f t="shared" si="261"/>
        <v>31213.599999999999</v>
      </c>
      <c r="U209" s="29">
        <f t="shared" ref="U209" si="262">SUM(U211:U212)</f>
        <v>0</v>
      </c>
      <c r="V209" s="41">
        <f t="shared" si="223"/>
        <v>0</v>
      </c>
      <c r="W209" s="76" t="s">
        <v>370</v>
      </c>
      <c r="X209" s="2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</row>
    <row r="210" spans="1:103" ht="18.75">
      <c r="A210" s="15"/>
      <c r="B210" s="78" t="s">
        <v>15</v>
      </c>
      <c r="C210" s="67"/>
      <c r="D210" s="67"/>
      <c r="E210" s="67"/>
      <c r="F210" s="29"/>
      <c r="G210" s="29"/>
      <c r="H210" s="29"/>
      <c r="I210" s="29"/>
      <c r="J210" s="29"/>
      <c r="K210" s="29"/>
      <c r="L210" s="29"/>
      <c r="M210" s="29"/>
      <c r="N210" s="28"/>
      <c r="O210" s="29"/>
      <c r="P210" s="29"/>
      <c r="Q210" s="29"/>
      <c r="R210" s="28"/>
      <c r="S210" s="29"/>
      <c r="T210" s="29"/>
      <c r="U210" s="29"/>
      <c r="V210" s="41"/>
      <c r="W210" s="2"/>
      <c r="X210" s="2"/>
    </row>
    <row r="211" spans="1:103" ht="49.5">
      <c r="A211" s="89"/>
      <c r="B211" s="36" t="s">
        <v>147</v>
      </c>
      <c r="C211" s="68">
        <v>818</v>
      </c>
      <c r="D211" s="69" t="s">
        <v>148</v>
      </c>
      <c r="E211" s="68" t="s">
        <v>149</v>
      </c>
      <c r="F211" s="29">
        <f t="shared" si="224"/>
        <v>0</v>
      </c>
      <c r="G211" s="34"/>
      <c r="H211" s="34"/>
      <c r="I211" s="34"/>
      <c r="J211" s="29">
        <f t="shared" ref="J211:J212" si="263">K211+L211+M211</f>
        <v>0</v>
      </c>
      <c r="K211" s="34"/>
      <c r="L211" s="34"/>
      <c r="M211" s="34"/>
      <c r="N211" s="28">
        <f t="shared" ref="N211:N212" si="264">O211+P211+Q211</f>
        <v>1546.4</v>
      </c>
      <c r="O211" s="34">
        <v>1546.4</v>
      </c>
      <c r="P211" s="34"/>
      <c r="Q211" s="34"/>
      <c r="R211" s="28">
        <f t="shared" ref="R211:R212" si="265">S211+T211+U211</f>
        <v>0</v>
      </c>
      <c r="S211" s="34"/>
      <c r="T211" s="34"/>
      <c r="U211" s="34"/>
      <c r="V211" s="75"/>
      <c r="W211" s="2"/>
      <c r="X211" s="2"/>
    </row>
    <row r="212" spans="1:103" ht="54.75" customHeight="1">
      <c r="A212" s="89"/>
      <c r="B212" s="36" t="s">
        <v>309</v>
      </c>
      <c r="C212" s="68">
        <v>817</v>
      </c>
      <c r="D212" s="69" t="s">
        <v>127</v>
      </c>
      <c r="E212" s="68" t="s">
        <v>252</v>
      </c>
      <c r="F212" s="29">
        <f t="shared" si="224"/>
        <v>29989.1</v>
      </c>
      <c r="G212" s="34">
        <f>1215.7+0.01-721.7+405.7</f>
        <v>899.7</v>
      </c>
      <c r="H212" s="34">
        <f>39308-23336.3+13117.7</f>
        <v>29089.4</v>
      </c>
      <c r="I212" s="34"/>
      <c r="J212" s="29">
        <f t="shared" si="263"/>
        <v>0</v>
      </c>
      <c r="K212" s="34"/>
      <c r="L212" s="34"/>
      <c r="M212" s="34"/>
      <c r="N212" s="28">
        <f t="shared" si="264"/>
        <v>35212</v>
      </c>
      <c r="O212" s="34">
        <f>1056.4-0.04</f>
        <v>1056.4000000000001</v>
      </c>
      <c r="P212" s="34">
        <v>34155.599999999999</v>
      </c>
      <c r="Q212" s="34"/>
      <c r="R212" s="28">
        <f t="shared" si="265"/>
        <v>32179</v>
      </c>
      <c r="S212" s="34">
        <f>965.4-0.03</f>
        <v>965.4</v>
      </c>
      <c r="T212" s="34">
        <v>31213.599999999999</v>
      </c>
      <c r="U212" s="34"/>
      <c r="V212" s="75">
        <f t="shared" si="223"/>
        <v>0</v>
      </c>
      <c r="W212" s="2"/>
      <c r="X212" s="2"/>
    </row>
    <row r="213" spans="1:103">
      <c r="B213" s="6" t="s">
        <v>321</v>
      </c>
    </row>
    <row r="214" spans="1:103">
      <c r="B214" s="6" t="s">
        <v>257</v>
      </c>
    </row>
    <row r="215" spans="1:103">
      <c r="F215" s="4"/>
      <c r="G215" s="4"/>
      <c r="H215" s="4"/>
      <c r="J215" s="4"/>
      <c r="N215" s="4"/>
      <c r="O215" s="4"/>
      <c r="P215" s="4"/>
      <c r="Q215" s="4"/>
      <c r="R215" s="4"/>
      <c r="S215" s="4"/>
      <c r="T215" s="4"/>
      <c r="U215" s="4"/>
      <c r="V215" s="4"/>
    </row>
    <row r="216" spans="1:103">
      <c r="F216" s="4"/>
      <c r="G216" s="4"/>
      <c r="H216" s="4"/>
      <c r="J216" s="4"/>
      <c r="N216" s="4"/>
      <c r="O216" s="4"/>
      <c r="P216" s="4"/>
      <c r="Q216" s="4"/>
      <c r="R216" s="4"/>
      <c r="S216" s="4"/>
      <c r="T216" s="4"/>
      <c r="U216" s="4"/>
      <c r="V216" s="4"/>
    </row>
    <row r="217" spans="1:103">
      <c r="F217" s="4"/>
      <c r="G217" s="4"/>
      <c r="H217" s="4"/>
      <c r="J217" s="4"/>
      <c r="N217" s="4"/>
      <c r="O217" s="4"/>
      <c r="P217" s="4"/>
      <c r="Q217" s="4"/>
      <c r="R217" s="4"/>
      <c r="S217" s="4"/>
      <c r="T217" s="4"/>
      <c r="U217" s="4"/>
      <c r="V217" s="4"/>
    </row>
    <row r="218" spans="1:103">
      <c r="F218" s="4"/>
      <c r="G218" s="4"/>
      <c r="H218" s="4"/>
      <c r="J218" s="4"/>
      <c r="N218" s="4"/>
      <c r="O218" s="4"/>
      <c r="P218" s="4"/>
      <c r="Q218" s="4"/>
      <c r="R218" s="4"/>
      <c r="S218" s="4"/>
      <c r="T218" s="4"/>
      <c r="U218" s="4"/>
      <c r="V218" s="4"/>
    </row>
    <row r="219" spans="1:103">
      <c r="F219" s="4"/>
      <c r="G219" s="4"/>
      <c r="H219" s="4"/>
      <c r="J219" s="4"/>
      <c r="N219" s="4"/>
      <c r="O219" s="4"/>
      <c r="P219" s="4"/>
      <c r="Q219" s="4"/>
      <c r="R219" s="4"/>
      <c r="S219" s="4"/>
      <c r="T219" s="4"/>
      <c r="U219" s="4"/>
      <c r="V219" s="4"/>
    </row>
    <row r="220" spans="1:103">
      <c r="F220" s="4"/>
      <c r="G220" s="4"/>
      <c r="H220" s="4"/>
      <c r="J220" s="4"/>
      <c r="N220" s="4"/>
      <c r="O220" s="4"/>
      <c r="P220" s="4"/>
      <c r="Q220" s="4"/>
      <c r="R220" s="4"/>
      <c r="S220" s="4"/>
      <c r="T220" s="4"/>
      <c r="U220" s="4"/>
      <c r="V220" s="4"/>
    </row>
    <row r="221" spans="1:103" ht="22.15" customHeight="1">
      <c r="F221" s="4"/>
      <c r="G221" s="4"/>
      <c r="H221" s="4"/>
      <c r="J221" s="4"/>
      <c r="N221" s="4"/>
      <c r="O221" s="4"/>
      <c r="P221" s="4"/>
      <c r="Q221" s="4"/>
      <c r="R221" s="4"/>
      <c r="S221" s="4"/>
      <c r="T221" s="4"/>
      <c r="U221" s="4"/>
      <c r="V221" s="4"/>
    </row>
    <row r="222" spans="1:103" ht="22.15" customHeight="1">
      <c r="F222" s="4"/>
      <c r="G222" s="4"/>
      <c r="H222" s="4"/>
      <c r="J222" s="4"/>
      <c r="N222" s="4"/>
      <c r="O222" s="4"/>
      <c r="P222" s="4"/>
      <c r="Q222" s="4"/>
      <c r="R222" s="4"/>
      <c r="S222" s="4"/>
      <c r="T222" s="4"/>
      <c r="U222" s="4"/>
      <c r="V222" s="4"/>
    </row>
    <row r="223" spans="1:103" ht="22.15" customHeight="1">
      <c r="F223" s="4"/>
      <c r="G223" s="4"/>
      <c r="H223" s="4"/>
      <c r="J223" s="4"/>
      <c r="N223" s="4"/>
      <c r="O223" s="4"/>
      <c r="P223" s="4"/>
      <c r="Q223" s="4"/>
      <c r="R223" s="4"/>
      <c r="S223" s="4"/>
      <c r="T223" s="4"/>
      <c r="U223" s="4"/>
      <c r="V223" s="4"/>
    </row>
    <row r="224" spans="1:103" ht="22.15" customHeight="1">
      <c r="F224" s="4"/>
      <c r="G224" s="4"/>
      <c r="H224" s="4"/>
      <c r="J224" s="4"/>
      <c r="N224" s="4"/>
      <c r="O224" s="4"/>
      <c r="P224" s="4"/>
      <c r="Q224" s="4"/>
      <c r="R224" s="4"/>
      <c r="S224" s="4"/>
      <c r="T224" s="4"/>
      <c r="U224" s="4"/>
      <c r="V224" s="4"/>
    </row>
    <row r="225" spans="6:22" ht="21" customHeight="1">
      <c r="F225" s="4"/>
      <c r="G225" s="4"/>
      <c r="H225" s="4"/>
      <c r="J225" s="4"/>
      <c r="N225" s="4"/>
      <c r="O225" s="4"/>
      <c r="P225" s="4"/>
      <c r="Q225" s="4"/>
      <c r="R225" s="4"/>
      <c r="S225" s="4"/>
      <c r="T225" s="4"/>
      <c r="U225" s="4"/>
      <c r="V225" s="4"/>
    </row>
    <row r="226" spans="6:22" ht="21" customHeight="1">
      <c r="F226" s="4"/>
      <c r="G226" s="4"/>
      <c r="H226" s="4"/>
      <c r="J226" s="4"/>
      <c r="N226" s="4"/>
      <c r="O226" s="4"/>
      <c r="P226" s="4"/>
      <c r="Q226" s="4"/>
      <c r="R226" s="4"/>
      <c r="S226" s="4"/>
      <c r="T226" s="4"/>
      <c r="U226" s="4"/>
      <c r="V226" s="4"/>
    </row>
    <row r="227" spans="6:22" ht="21" customHeight="1">
      <c r="F227" s="4"/>
      <c r="G227" s="4"/>
      <c r="H227" s="4"/>
      <c r="J227" s="4"/>
      <c r="N227" s="4"/>
      <c r="O227" s="4"/>
      <c r="P227" s="4"/>
      <c r="Q227" s="4"/>
      <c r="R227" s="4"/>
      <c r="S227" s="4"/>
      <c r="T227" s="4"/>
      <c r="U227" s="4"/>
      <c r="V227" s="4"/>
    </row>
    <row r="228" spans="6:22" ht="21" customHeight="1">
      <c r="F228" s="4"/>
      <c r="G228" s="4"/>
      <c r="H228" s="4"/>
      <c r="J228" s="4"/>
      <c r="N228" s="4"/>
      <c r="O228" s="4"/>
      <c r="P228" s="4"/>
      <c r="Q228" s="4"/>
      <c r="R228" s="4"/>
      <c r="S228" s="4"/>
      <c r="T228" s="4"/>
      <c r="U228" s="4"/>
      <c r="V228" s="4"/>
    </row>
    <row r="229" spans="6:22" ht="17.45" customHeight="1">
      <c r="F229" s="4"/>
      <c r="G229" s="4"/>
      <c r="H229" s="4"/>
      <c r="J229" s="4"/>
      <c r="N229" s="4"/>
      <c r="O229" s="4"/>
      <c r="P229" s="4"/>
      <c r="Q229" s="4"/>
      <c r="R229" s="4"/>
      <c r="S229" s="4"/>
      <c r="T229" s="4"/>
      <c r="U229" s="4"/>
      <c r="V229" s="4"/>
    </row>
    <row r="230" spans="6:22" ht="16.149999999999999" customHeight="1">
      <c r="F230" s="4"/>
      <c r="G230" s="4"/>
      <c r="H230" s="4"/>
      <c r="J230" s="4"/>
      <c r="N230" s="4"/>
      <c r="O230" s="4"/>
      <c r="P230" s="4"/>
      <c r="Q230" s="4"/>
      <c r="R230" s="4"/>
      <c r="S230" s="4"/>
      <c r="T230" s="4"/>
      <c r="U230" s="4"/>
      <c r="V230" s="4"/>
    </row>
    <row r="231" spans="6:22" ht="17.45" customHeight="1">
      <c r="F231" s="4"/>
      <c r="G231" s="4"/>
      <c r="H231" s="4"/>
      <c r="J231" s="4"/>
      <c r="N231" s="4"/>
      <c r="O231" s="4"/>
      <c r="P231" s="4"/>
      <c r="Q231" s="4"/>
      <c r="R231" s="4"/>
      <c r="S231" s="4"/>
      <c r="T231" s="4"/>
      <c r="U231" s="4"/>
      <c r="V231" s="4"/>
    </row>
    <row r="232" spans="6:22" ht="20.45" customHeight="1">
      <c r="F232" s="4"/>
      <c r="G232" s="4"/>
      <c r="H232" s="4"/>
      <c r="J232" s="4"/>
      <c r="N232" s="4"/>
      <c r="O232" s="4"/>
      <c r="P232" s="4"/>
      <c r="Q232" s="4"/>
      <c r="R232" s="4"/>
      <c r="S232" s="4"/>
      <c r="T232" s="4"/>
      <c r="U232" s="4"/>
      <c r="V232" s="4"/>
    </row>
    <row r="233" spans="6:22" ht="16.149999999999999" customHeight="1">
      <c r="F233" s="4"/>
      <c r="G233" s="4"/>
      <c r="H233" s="4"/>
      <c r="J233" s="4"/>
      <c r="N233" s="4"/>
      <c r="O233" s="4"/>
      <c r="P233" s="4"/>
      <c r="Q233" s="4"/>
      <c r="R233" s="4"/>
      <c r="S233" s="4"/>
      <c r="T233" s="4"/>
      <c r="U233" s="4"/>
      <c r="V233" s="4"/>
    </row>
    <row r="234" spans="6:22" ht="17.45" customHeight="1">
      <c r="F234" s="4"/>
      <c r="G234" s="4"/>
      <c r="H234" s="4"/>
      <c r="J234" s="4"/>
      <c r="N234" s="4"/>
      <c r="O234" s="4"/>
      <c r="P234" s="4"/>
      <c r="Q234" s="4"/>
      <c r="R234" s="4"/>
      <c r="S234" s="4"/>
      <c r="T234" s="4"/>
      <c r="U234" s="4"/>
      <c r="V234" s="4"/>
    </row>
    <row r="235" spans="6:22" ht="17.45" customHeight="1">
      <c r="F235" s="4"/>
      <c r="G235" s="4"/>
      <c r="H235" s="4"/>
      <c r="J235" s="4"/>
      <c r="N235" s="4"/>
      <c r="O235" s="4"/>
      <c r="P235" s="4"/>
      <c r="Q235" s="4"/>
      <c r="R235" s="4"/>
      <c r="S235" s="4"/>
      <c r="T235" s="4"/>
      <c r="U235" s="4"/>
      <c r="V235" s="4"/>
    </row>
    <row r="236" spans="6:22">
      <c r="F236" s="4"/>
      <c r="G236" s="4"/>
      <c r="H236" s="4"/>
      <c r="J236" s="4"/>
      <c r="N236" s="4"/>
      <c r="O236" s="4"/>
      <c r="P236" s="4"/>
      <c r="Q236" s="4"/>
      <c r="R236" s="4"/>
      <c r="S236" s="4"/>
      <c r="T236" s="4"/>
      <c r="U236" s="4"/>
      <c r="V236" s="4"/>
    </row>
    <row r="237" spans="6:22">
      <c r="F237" s="4"/>
      <c r="G237" s="4"/>
      <c r="H237" s="4"/>
      <c r="J237" s="4"/>
      <c r="N237" s="4"/>
      <c r="O237" s="4"/>
      <c r="P237" s="4"/>
      <c r="Q237" s="4"/>
      <c r="R237" s="4"/>
      <c r="S237" s="4"/>
      <c r="T237" s="4"/>
      <c r="U237" s="4"/>
      <c r="V237" s="4"/>
    </row>
    <row r="238" spans="6:22">
      <c r="F238" s="4"/>
      <c r="G238" s="4"/>
      <c r="H238" s="4"/>
      <c r="J238" s="4"/>
      <c r="N238" s="4"/>
      <c r="O238" s="4"/>
      <c r="P238" s="4"/>
      <c r="Q238" s="4"/>
      <c r="R238" s="4"/>
      <c r="S238" s="4"/>
      <c r="T238" s="4"/>
      <c r="U238" s="4"/>
      <c r="V238" s="4"/>
    </row>
    <row r="239" spans="6:22">
      <c r="F239" s="4"/>
      <c r="G239" s="4"/>
      <c r="H239" s="4"/>
      <c r="J239" s="4"/>
      <c r="N239" s="4"/>
      <c r="O239" s="4"/>
      <c r="P239" s="4"/>
      <c r="Q239" s="4"/>
      <c r="R239" s="4"/>
      <c r="S239" s="4"/>
      <c r="T239" s="4"/>
      <c r="U239" s="4"/>
      <c r="V239" s="4"/>
    </row>
    <row r="240" spans="6:22">
      <c r="F240" s="4"/>
      <c r="G240" s="4"/>
      <c r="H240" s="4"/>
      <c r="J240" s="4"/>
      <c r="N240" s="4"/>
      <c r="O240" s="4"/>
      <c r="P240" s="4"/>
      <c r="Q240" s="4"/>
      <c r="R240" s="4"/>
      <c r="S240" s="4"/>
      <c r="T240" s="4"/>
      <c r="U240" s="4"/>
      <c r="V240" s="4"/>
    </row>
    <row r="241" spans="6:22">
      <c r="F241" s="4"/>
      <c r="G241" s="4"/>
      <c r="H241" s="4"/>
      <c r="J241" s="4"/>
      <c r="N241" s="4"/>
      <c r="O241" s="4"/>
      <c r="P241" s="4"/>
      <c r="Q241" s="4"/>
      <c r="R241" s="4"/>
      <c r="S241" s="4"/>
      <c r="T241" s="4"/>
      <c r="U241" s="4"/>
      <c r="V241" s="4"/>
    </row>
    <row r="242" spans="6:22">
      <c r="F242" s="4"/>
      <c r="G242" s="4"/>
      <c r="H242" s="4"/>
      <c r="J242" s="4"/>
      <c r="N242" s="4"/>
      <c r="O242" s="4"/>
      <c r="P242" s="4"/>
      <c r="Q242" s="4"/>
      <c r="R242" s="4"/>
      <c r="S242" s="4"/>
      <c r="T242" s="4"/>
      <c r="U242" s="4"/>
      <c r="V242" s="4"/>
    </row>
    <row r="243" spans="6:22">
      <c r="F243" s="4"/>
      <c r="G243" s="4"/>
      <c r="H243" s="4"/>
      <c r="J243" s="4"/>
      <c r="N243" s="4"/>
      <c r="O243" s="4"/>
      <c r="P243" s="4"/>
      <c r="Q243" s="4"/>
      <c r="R243" s="4"/>
      <c r="S243" s="4"/>
      <c r="T243" s="4"/>
      <c r="U243" s="4"/>
      <c r="V243" s="4"/>
    </row>
    <row r="244" spans="6:22">
      <c r="F244" s="4"/>
      <c r="G244" s="4"/>
      <c r="H244" s="4"/>
      <c r="J244" s="4"/>
      <c r="N244" s="4"/>
      <c r="O244" s="4"/>
      <c r="P244" s="4"/>
      <c r="Q244" s="4"/>
      <c r="R244" s="4"/>
      <c r="S244" s="4"/>
      <c r="T244" s="4"/>
      <c r="U244" s="4"/>
      <c r="V244" s="4"/>
    </row>
    <row r="245" spans="6:22">
      <c r="F245" s="4"/>
      <c r="G245" s="4"/>
      <c r="H245" s="4"/>
      <c r="J245" s="4"/>
      <c r="N245" s="4"/>
      <c r="O245" s="4"/>
      <c r="P245" s="4"/>
      <c r="Q245" s="4"/>
      <c r="R245" s="4"/>
      <c r="S245" s="4"/>
      <c r="T245" s="4"/>
      <c r="U245" s="4"/>
      <c r="V245" s="4"/>
    </row>
    <row r="246" spans="6:22">
      <c r="F246" s="4"/>
      <c r="G246" s="4"/>
      <c r="H246" s="4"/>
      <c r="J246" s="4"/>
      <c r="N246" s="4"/>
      <c r="O246" s="4"/>
      <c r="P246" s="4"/>
      <c r="Q246" s="4"/>
      <c r="R246" s="4"/>
      <c r="S246" s="4"/>
      <c r="T246" s="4"/>
      <c r="U246" s="4"/>
      <c r="V246" s="4"/>
    </row>
    <row r="247" spans="6:22">
      <c r="F247" s="4"/>
      <c r="G247" s="4"/>
      <c r="H247" s="4"/>
      <c r="J247" s="4"/>
      <c r="N247" s="4"/>
      <c r="O247" s="4"/>
      <c r="P247" s="4"/>
      <c r="Q247" s="4"/>
      <c r="R247" s="4"/>
      <c r="S247" s="4"/>
      <c r="T247" s="4"/>
      <c r="U247" s="4"/>
      <c r="V247" s="4"/>
    </row>
    <row r="248" spans="6:22">
      <c r="F248" s="4"/>
      <c r="G248" s="4"/>
      <c r="H248" s="4"/>
      <c r="J248" s="4"/>
      <c r="N248" s="4"/>
      <c r="O248" s="4"/>
      <c r="P248" s="4"/>
      <c r="Q248" s="4"/>
      <c r="R248" s="4"/>
      <c r="S248" s="4"/>
      <c r="T248" s="4"/>
      <c r="U248" s="4"/>
      <c r="V248" s="4"/>
    </row>
    <row r="249" spans="6:22">
      <c r="F249" s="4"/>
      <c r="G249" s="4"/>
      <c r="H249" s="4"/>
      <c r="J249" s="4"/>
      <c r="N249" s="4"/>
      <c r="O249" s="4"/>
      <c r="P249" s="4"/>
      <c r="Q249" s="4"/>
      <c r="R249" s="4"/>
      <c r="S249" s="4"/>
      <c r="T249" s="4"/>
      <c r="U249" s="4"/>
      <c r="V249" s="4"/>
    </row>
    <row r="250" spans="6:22">
      <c r="F250" s="4"/>
      <c r="G250" s="4"/>
      <c r="H250" s="4"/>
      <c r="J250" s="4"/>
      <c r="N250" s="4"/>
      <c r="O250" s="4"/>
      <c r="P250" s="4"/>
      <c r="Q250" s="4"/>
      <c r="R250" s="4"/>
      <c r="S250" s="4"/>
      <c r="T250" s="4"/>
      <c r="U250" s="4"/>
      <c r="V250" s="4"/>
    </row>
    <row r="251" spans="6:22">
      <c r="F251" s="4"/>
      <c r="G251" s="4"/>
      <c r="H251" s="4"/>
      <c r="J251" s="4"/>
      <c r="N251" s="4"/>
      <c r="O251" s="4"/>
      <c r="P251" s="4"/>
      <c r="Q251" s="4"/>
      <c r="R251" s="4"/>
      <c r="S251" s="4"/>
      <c r="T251" s="4"/>
      <c r="U251" s="4"/>
      <c r="V251" s="4"/>
    </row>
    <row r="252" spans="6:22">
      <c r="F252" s="4"/>
      <c r="G252" s="4"/>
      <c r="H252" s="4"/>
      <c r="J252" s="4"/>
      <c r="N252" s="4"/>
      <c r="O252" s="4"/>
      <c r="P252" s="4"/>
      <c r="Q252" s="4"/>
      <c r="R252" s="4"/>
      <c r="S252" s="4"/>
      <c r="T252" s="4"/>
      <c r="U252" s="4"/>
      <c r="V252" s="4"/>
    </row>
    <row r="253" spans="6:22">
      <c r="F253" s="4"/>
      <c r="G253" s="4"/>
      <c r="H253" s="4"/>
      <c r="J253" s="4"/>
      <c r="N253" s="4"/>
      <c r="O253" s="4"/>
      <c r="P253" s="4"/>
      <c r="Q253" s="4"/>
      <c r="R253" s="4"/>
      <c r="S253" s="4"/>
      <c r="T253" s="4"/>
      <c r="U253" s="4"/>
      <c r="V253" s="4"/>
    </row>
  </sheetData>
  <autoFilter ref="A7:V214"/>
  <customSheetViews>
    <customSheetView guid="{8DBC8541-9868-41A7-9A9F-A27FC80CBA37}" scale="78" showPageBreaks="1" printArea="1">
      <pane xSplit="1" ySplit="7" topLeftCell="B8" activePane="bottomRight" state="frozen"/>
      <selection pane="bottomRight" sqref="A1:XFD1048576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</customSheetView>
    <customSheetView guid="{FE09AB06-1ECE-4486-BCA1-E9D85830708B}" scale="60" showPageBreaks="1" printArea="1" showAutoFilter="1">
      <pane xSplit="1" ySplit="7" topLeftCell="B8" activePane="bottomRight" state="frozen"/>
      <selection pane="bottomRight" activeCell="Z16" sqref="Z16"/>
      <rowBreaks count="2" manualBreakCount="2">
        <brk id="94" max="37" man="1"/>
        <brk id="107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2"/>
      <autoFilter ref="E12:E208"/>
    </customSheetView>
  </customSheetViews>
  <mergeCells count="17">
    <mergeCell ref="R5:U5"/>
    <mergeCell ref="V4:V6"/>
    <mergeCell ref="W4:W6"/>
    <mergeCell ref="X4:X6"/>
    <mergeCell ref="A1:V2"/>
    <mergeCell ref="A4:A6"/>
    <mergeCell ref="B4:B6"/>
    <mergeCell ref="C4:C6"/>
    <mergeCell ref="E4:E6"/>
    <mergeCell ref="D4:D6"/>
    <mergeCell ref="F5:I5"/>
    <mergeCell ref="F4:I4"/>
    <mergeCell ref="J4:M4"/>
    <mergeCell ref="J5:M5"/>
    <mergeCell ref="N4:Q4"/>
    <mergeCell ref="N5:Q5"/>
    <mergeCell ref="R4:U4"/>
  </mergeCells>
  <printOptions horizontalCentered="1"/>
  <pageMargins left="0" right="0" top="0" bottom="0" header="0.31496062992125984" footer="0.31496062992125984"/>
  <pageSetup paperSize="9" scale="37" orientation="landscape" horizontalDpi="180" verticalDpi="180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J49"/>
  <sheetViews>
    <sheetView zoomScaleNormal="100" workbookViewId="0">
      <selection activeCell="R11" sqref="R11"/>
    </sheetView>
  </sheetViews>
  <sheetFormatPr defaultColWidth="8.85546875" defaultRowHeight="15"/>
  <cols>
    <col min="1" max="1" width="6.42578125" style="5" customWidth="1"/>
    <col min="2" max="2" width="56.42578125" style="6" customWidth="1"/>
    <col min="3" max="3" width="17.5703125" style="5" customWidth="1"/>
    <col min="4" max="4" width="15.5703125" style="9" customWidth="1"/>
    <col min="5" max="5" width="10.28515625" style="5" customWidth="1"/>
    <col min="6" max="6" width="50" style="4" hidden="1" customWidth="1"/>
    <col min="7" max="7" width="0" style="4" hidden="1" customWidth="1"/>
    <col min="8" max="8" width="8.85546875" style="4"/>
    <col min="9" max="9" width="6" style="4" customWidth="1"/>
    <col min="10" max="10" width="36.140625" style="102" customWidth="1"/>
    <col min="11" max="11" width="18.42578125" style="4" bestFit="1" customWidth="1"/>
    <col min="12" max="12" width="18.28515625" style="4" customWidth="1"/>
    <col min="13" max="13" width="9.140625" style="4" customWidth="1"/>
    <col min="14" max="14" width="18.42578125" style="4" bestFit="1" customWidth="1"/>
    <col min="15" max="15" width="9.7109375" style="4" bestFit="1" customWidth="1"/>
    <col min="16" max="16" width="9" style="4" bestFit="1" customWidth="1"/>
    <col min="17" max="88" width="8.85546875" style="4"/>
    <col min="89" max="16384" width="8.85546875" style="5"/>
  </cols>
  <sheetData>
    <row r="1" spans="1:88" ht="15" customHeight="1">
      <c r="A1" s="111" t="s">
        <v>346</v>
      </c>
      <c r="B1" s="111"/>
      <c r="C1" s="111"/>
      <c r="D1" s="111"/>
      <c r="E1" s="111"/>
    </row>
    <row r="2" spans="1:88" ht="37.5" customHeight="1">
      <c r="A2" s="111"/>
      <c r="B2" s="111"/>
      <c r="C2" s="111"/>
      <c r="D2" s="111"/>
      <c r="E2" s="111"/>
    </row>
    <row r="4" spans="1:88" ht="16.5" customHeight="1">
      <c r="A4" s="92" t="s">
        <v>0</v>
      </c>
      <c r="B4" s="93" t="s">
        <v>1</v>
      </c>
      <c r="C4" s="94" t="s">
        <v>261</v>
      </c>
      <c r="D4" s="94" t="s">
        <v>261</v>
      </c>
      <c r="E4" s="90" t="s">
        <v>324</v>
      </c>
      <c r="F4" s="91" t="s">
        <v>347</v>
      </c>
      <c r="G4" s="91" t="s">
        <v>348</v>
      </c>
      <c r="I4" s="129" t="s">
        <v>0</v>
      </c>
      <c r="J4" s="131" t="s">
        <v>1</v>
      </c>
      <c r="K4" s="133" t="s">
        <v>376</v>
      </c>
      <c r="L4" s="128" t="s">
        <v>377</v>
      </c>
      <c r="M4" s="128"/>
      <c r="N4" s="128" t="s">
        <v>379</v>
      </c>
      <c r="O4" s="128"/>
    </row>
    <row r="5" spans="1:88" ht="16.5" customHeight="1">
      <c r="A5" s="92"/>
      <c r="B5" s="99"/>
      <c r="C5" s="94"/>
      <c r="D5" s="94"/>
      <c r="E5" s="90"/>
      <c r="F5" s="91"/>
      <c r="G5" s="91"/>
      <c r="I5" s="130"/>
      <c r="J5" s="132"/>
      <c r="K5" s="134"/>
      <c r="L5" s="101" t="s">
        <v>378</v>
      </c>
      <c r="M5" s="101" t="s">
        <v>324</v>
      </c>
      <c r="N5" s="101" t="s">
        <v>378</v>
      </c>
      <c r="O5" s="101" t="s">
        <v>324</v>
      </c>
    </row>
    <row r="6" spans="1:88" ht="19.5">
      <c r="A6" s="15"/>
      <c r="B6" s="16" t="s">
        <v>10</v>
      </c>
      <c r="C6" s="17">
        <f>Лист1!F8/1000</f>
        <v>19207.5</v>
      </c>
      <c r="D6" s="17">
        <f>Лист1!J8/1000</f>
        <v>8999.6</v>
      </c>
      <c r="E6" s="18">
        <f>Лист1!V8</f>
        <v>0.46899999999999997</v>
      </c>
      <c r="F6" s="2"/>
      <c r="G6" s="2"/>
      <c r="I6" s="15"/>
      <c r="J6" s="78" t="s">
        <v>10</v>
      </c>
      <c r="K6" s="95">
        <f>C6</f>
        <v>19207.5</v>
      </c>
      <c r="L6" s="100">
        <f>D6</f>
        <v>8999.6</v>
      </c>
      <c r="M6" s="100">
        <f>L6/K6*100</f>
        <v>46.9</v>
      </c>
      <c r="N6" s="95">
        <v>5306.5</v>
      </c>
      <c r="O6" s="96">
        <f>N6/K6</f>
        <v>0.27600000000000002</v>
      </c>
      <c r="P6" s="19">
        <f>N6-L6</f>
        <v>-3693.1</v>
      </c>
    </row>
    <row r="7" spans="1:88" s="83" customFormat="1" ht="49.5">
      <c r="A7" s="20" t="s">
        <v>9</v>
      </c>
      <c r="B7" s="72" t="s">
        <v>107</v>
      </c>
      <c r="C7" s="53">
        <f>Лист1!F150/1000</f>
        <v>4464</v>
      </c>
      <c r="D7" s="53">
        <f>Лист1!J150/1000</f>
        <v>2776.3</v>
      </c>
      <c r="E7" s="54">
        <f>Лист1!V150/1000</f>
        <v>1E-3</v>
      </c>
      <c r="F7" s="2"/>
      <c r="G7" s="2"/>
      <c r="H7" s="4"/>
      <c r="I7" s="15" t="s">
        <v>9</v>
      </c>
      <c r="J7" s="78" t="s">
        <v>107</v>
      </c>
      <c r="K7" s="95">
        <f t="shared" ref="K7:K17" si="0">C7</f>
        <v>4464</v>
      </c>
      <c r="L7" s="95">
        <f t="shared" ref="L7:L17" si="1">D7</f>
        <v>2776.3</v>
      </c>
      <c r="M7" s="100">
        <f t="shared" ref="M7:M17" si="2">L7/K7*100</f>
        <v>62.2</v>
      </c>
      <c r="N7" s="97">
        <v>1692.4</v>
      </c>
      <c r="O7" s="96">
        <f t="shared" ref="O7:O17" si="3">N7/K7</f>
        <v>0.379</v>
      </c>
      <c r="P7" s="19">
        <f t="shared" ref="P7:P17" si="4">N7-L7</f>
        <v>-1083.9000000000001</v>
      </c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</row>
    <row r="8" spans="1:88" ht="33">
      <c r="A8" s="20" t="s">
        <v>33</v>
      </c>
      <c r="B8" s="21" t="s">
        <v>11</v>
      </c>
      <c r="C8" s="23">
        <f>Лист1!F9/1000</f>
        <v>4470.1000000000004</v>
      </c>
      <c r="D8" s="23">
        <f>Лист1!J9/1000</f>
        <v>2605.1</v>
      </c>
      <c r="E8" s="24">
        <f>Лист1!V9/1000</f>
        <v>1E-3</v>
      </c>
      <c r="F8" s="2"/>
      <c r="G8" s="2"/>
      <c r="I8" s="15" t="s">
        <v>33</v>
      </c>
      <c r="J8" s="78" t="s">
        <v>11</v>
      </c>
      <c r="K8" s="95">
        <f t="shared" si="0"/>
        <v>4470.1000000000004</v>
      </c>
      <c r="L8" s="95">
        <f t="shared" si="1"/>
        <v>2605.1</v>
      </c>
      <c r="M8" s="100">
        <f t="shared" si="2"/>
        <v>58.3</v>
      </c>
      <c r="N8" s="98">
        <v>2032.2</v>
      </c>
      <c r="O8" s="96">
        <f t="shared" si="3"/>
        <v>0.45500000000000002</v>
      </c>
      <c r="P8" s="19">
        <f t="shared" si="4"/>
        <v>-572.9</v>
      </c>
    </row>
    <row r="9" spans="1:88" ht="33">
      <c r="A9" s="22">
        <v>3</v>
      </c>
      <c r="B9" s="51" t="s">
        <v>34</v>
      </c>
      <c r="C9" s="53">
        <f>Лист1!F41/1000</f>
        <v>4044</v>
      </c>
      <c r="D9" s="53">
        <f>Лист1!J41/1000</f>
        <v>651.5</v>
      </c>
      <c r="E9" s="54">
        <f>Лист1!V41/1000</f>
        <v>0</v>
      </c>
      <c r="F9" s="2"/>
      <c r="G9" s="2"/>
      <c r="I9" s="15">
        <v>3</v>
      </c>
      <c r="J9" s="103" t="s">
        <v>34</v>
      </c>
      <c r="K9" s="95">
        <f t="shared" si="0"/>
        <v>4044</v>
      </c>
      <c r="L9" s="95">
        <f t="shared" si="1"/>
        <v>651.5</v>
      </c>
      <c r="M9" s="100">
        <f t="shared" si="2"/>
        <v>16.100000000000001</v>
      </c>
      <c r="N9" s="97">
        <v>350.4</v>
      </c>
      <c r="O9" s="96">
        <f t="shared" si="3"/>
        <v>8.6999999999999994E-2</v>
      </c>
      <c r="P9" s="19">
        <f t="shared" si="4"/>
        <v>-301.10000000000002</v>
      </c>
    </row>
    <row r="10" spans="1:88" s="83" customFormat="1" ht="33">
      <c r="A10" s="20" t="s">
        <v>67</v>
      </c>
      <c r="B10" s="72" t="s">
        <v>85</v>
      </c>
      <c r="C10" s="53">
        <f>Лист1!F119/1000</f>
        <v>2735.3</v>
      </c>
      <c r="D10" s="53">
        <f>Лист1!J119/1000</f>
        <v>1003.1</v>
      </c>
      <c r="E10" s="54">
        <f>Лист1!V119/1000</f>
        <v>0</v>
      </c>
      <c r="F10" s="2"/>
      <c r="G10" s="2"/>
      <c r="H10" s="4"/>
      <c r="I10" s="15" t="s">
        <v>84</v>
      </c>
      <c r="J10" s="78" t="s">
        <v>85</v>
      </c>
      <c r="K10" s="95">
        <f t="shared" si="0"/>
        <v>2735.3</v>
      </c>
      <c r="L10" s="95">
        <f t="shared" si="1"/>
        <v>1003.1</v>
      </c>
      <c r="M10" s="100">
        <f t="shared" si="2"/>
        <v>36.700000000000003</v>
      </c>
      <c r="N10" s="97">
        <v>548.5</v>
      </c>
      <c r="O10" s="96">
        <f t="shared" si="3"/>
        <v>0.20100000000000001</v>
      </c>
      <c r="P10" s="19">
        <f t="shared" si="4"/>
        <v>-454.6</v>
      </c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</row>
    <row r="11" spans="1:88" ht="33">
      <c r="A11" s="20" t="s">
        <v>84</v>
      </c>
      <c r="B11" s="21" t="s">
        <v>47</v>
      </c>
      <c r="C11" s="53">
        <f>Лист1!F59/1000</f>
        <v>2895.1</v>
      </c>
      <c r="D11" s="53">
        <f>Лист1!J59/1000</f>
        <v>1541.9</v>
      </c>
      <c r="E11" s="54">
        <f>Лист1!V59/1000</f>
        <v>1E-3</v>
      </c>
      <c r="F11" s="31"/>
      <c r="G11" s="2"/>
      <c r="I11" s="15" t="s">
        <v>67</v>
      </c>
      <c r="J11" s="78" t="s">
        <v>47</v>
      </c>
      <c r="K11" s="95">
        <f t="shared" si="0"/>
        <v>2895.1</v>
      </c>
      <c r="L11" s="95">
        <f t="shared" si="1"/>
        <v>1541.9</v>
      </c>
      <c r="M11" s="100">
        <f t="shared" si="2"/>
        <v>53.3</v>
      </c>
      <c r="N11" s="97">
        <v>355</v>
      </c>
      <c r="O11" s="96">
        <f t="shared" si="3"/>
        <v>0.123</v>
      </c>
      <c r="P11" s="19">
        <f t="shared" si="4"/>
        <v>-1186.9000000000001</v>
      </c>
    </row>
    <row r="12" spans="1:88" s="83" customFormat="1" ht="33">
      <c r="A12" s="20" t="s">
        <v>90</v>
      </c>
      <c r="B12" s="21" t="s">
        <v>91</v>
      </c>
      <c r="C12" s="53">
        <f>Лист1!F136/1000</f>
        <v>223.9</v>
      </c>
      <c r="D12" s="53">
        <f>Лист1!J136/1000</f>
        <v>163.6</v>
      </c>
      <c r="E12" s="54">
        <f>Лист1!V136/1000</f>
        <v>1E-3</v>
      </c>
      <c r="F12" s="2"/>
      <c r="G12" s="2"/>
      <c r="H12" s="4"/>
      <c r="I12" s="15" t="s">
        <v>90</v>
      </c>
      <c r="J12" s="78" t="s">
        <v>91</v>
      </c>
      <c r="K12" s="95">
        <f t="shared" si="0"/>
        <v>223.9</v>
      </c>
      <c r="L12" s="95">
        <f t="shared" si="1"/>
        <v>163.6</v>
      </c>
      <c r="M12" s="100">
        <f t="shared" si="2"/>
        <v>73.099999999999994</v>
      </c>
      <c r="N12" s="97">
        <v>120.2</v>
      </c>
      <c r="O12" s="96">
        <f t="shared" si="3"/>
        <v>0.53700000000000003</v>
      </c>
      <c r="P12" s="19">
        <f t="shared" si="4"/>
        <v>-43.4</v>
      </c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</row>
    <row r="13" spans="1:88" s="83" customFormat="1" ht="82.5">
      <c r="A13" s="20" t="s">
        <v>106</v>
      </c>
      <c r="B13" s="72" t="s">
        <v>122</v>
      </c>
      <c r="C13" s="53">
        <f>Лист1!F182/1000</f>
        <v>198.9</v>
      </c>
      <c r="D13" s="53">
        <f>Лист1!J182/1000</f>
        <v>158.30000000000001</v>
      </c>
      <c r="E13" s="54">
        <f>Лист1!V182/1000</f>
        <v>1E-3</v>
      </c>
      <c r="F13" s="2"/>
      <c r="G13" s="2"/>
      <c r="H13" s="4"/>
      <c r="I13" s="15" t="s">
        <v>106</v>
      </c>
      <c r="J13" s="78" t="s">
        <v>122</v>
      </c>
      <c r="K13" s="95">
        <f t="shared" si="0"/>
        <v>198.9</v>
      </c>
      <c r="L13" s="95">
        <f t="shared" si="1"/>
        <v>158.30000000000001</v>
      </c>
      <c r="M13" s="100">
        <f t="shared" si="2"/>
        <v>79.599999999999994</v>
      </c>
      <c r="N13" s="97">
        <v>145.1</v>
      </c>
      <c r="O13" s="96">
        <f t="shared" si="3"/>
        <v>0.73</v>
      </c>
      <c r="P13" s="19">
        <f t="shared" si="4"/>
        <v>-13.2</v>
      </c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</row>
    <row r="14" spans="1:88" s="83" customFormat="1" ht="33">
      <c r="A14" s="20" t="s">
        <v>112</v>
      </c>
      <c r="B14" s="21" t="s">
        <v>113</v>
      </c>
      <c r="C14" s="53">
        <f>Лист1!F164/1000</f>
        <v>83.4</v>
      </c>
      <c r="D14" s="53">
        <f>Лист1!J164/1000</f>
        <v>59.4</v>
      </c>
      <c r="E14" s="54">
        <f>Лист1!V164/1000</f>
        <v>1E-3</v>
      </c>
      <c r="F14" s="2"/>
      <c r="G14" s="2"/>
      <c r="H14" s="4"/>
      <c r="I14" s="15" t="s">
        <v>112</v>
      </c>
      <c r="J14" s="78" t="s">
        <v>113</v>
      </c>
      <c r="K14" s="95">
        <f t="shared" si="0"/>
        <v>83.4</v>
      </c>
      <c r="L14" s="95">
        <f t="shared" si="1"/>
        <v>59.4</v>
      </c>
      <c r="M14" s="100">
        <f t="shared" si="2"/>
        <v>71.2</v>
      </c>
      <c r="N14" s="97">
        <v>46</v>
      </c>
      <c r="O14" s="96">
        <f t="shared" si="3"/>
        <v>0.55200000000000005</v>
      </c>
      <c r="P14" s="19">
        <f t="shared" si="4"/>
        <v>-13.4</v>
      </c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</row>
    <row r="15" spans="1:88" ht="33">
      <c r="A15" s="20" t="s">
        <v>121</v>
      </c>
      <c r="B15" s="72" t="s">
        <v>68</v>
      </c>
      <c r="C15" s="53">
        <f>Лист1!F97/1000</f>
        <v>44</v>
      </c>
      <c r="D15" s="53">
        <f>Лист1!J97/1000</f>
        <v>24.6</v>
      </c>
      <c r="E15" s="54">
        <f>Лист1!V97/1000</f>
        <v>1E-3</v>
      </c>
      <c r="F15" s="2"/>
      <c r="G15" s="2"/>
      <c r="I15" s="15" t="s">
        <v>121</v>
      </c>
      <c r="J15" s="78" t="s">
        <v>68</v>
      </c>
      <c r="K15" s="95">
        <f t="shared" si="0"/>
        <v>44</v>
      </c>
      <c r="L15" s="95">
        <f t="shared" si="1"/>
        <v>24.6</v>
      </c>
      <c r="M15" s="100">
        <f t="shared" si="2"/>
        <v>55.9</v>
      </c>
      <c r="N15" s="97">
        <v>4.3</v>
      </c>
      <c r="O15" s="96">
        <f t="shared" si="3"/>
        <v>9.8000000000000004E-2</v>
      </c>
      <c r="P15" s="19">
        <f t="shared" si="4"/>
        <v>-20.3</v>
      </c>
    </row>
    <row r="16" spans="1:88" s="83" customFormat="1" ht="49.5">
      <c r="A16" s="72">
        <v>10</v>
      </c>
      <c r="B16" s="72" t="s">
        <v>259</v>
      </c>
      <c r="C16" s="53">
        <f>Лист1!F208/1000</f>
        <v>30</v>
      </c>
      <c r="D16" s="53">
        <f>Лист1!J208/1000</f>
        <v>0</v>
      </c>
      <c r="E16" s="54">
        <f>Лист1!V208/1000</f>
        <v>0</v>
      </c>
      <c r="F16" s="2"/>
      <c r="G16" s="2"/>
      <c r="H16" s="4"/>
      <c r="I16" s="15">
        <v>10</v>
      </c>
      <c r="J16" s="78" t="s">
        <v>259</v>
      </c>
      <c r="K16" s="95">
        <f t="shared" si="0"/>
        <v>30</v>
      </c>
      <c r="L16" s="95">
        <f t="shared" si="1"/>
        <v>0</v>
      </c>
      <c r="M16" s="100">
        <f t="shared" si="2"/>
        <v>0</v>
      </c>
      <c r="N16" s="97">
        <v>0</v>
      </c>
      <c r="O16" s="96">
        <f t="shared" si="3"/>
        <v>0</v>
      </c>
      <c r="P16" s="19">
        <f t="shared" si="4"/>
        <v>0</v>
      </c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</row>
    <row r="17" spans="1:88" s="83" customFormat="1" ht="49.5">
      <c r="A17" s="20" t="s">
        <v>375</v>
      </c>
      <c r="B17" s="72" t="s">
        <v>130</v>
      </c>
      <c r="C17" s="53">
        <f>Лист1!F203/1000</f>
        <v>18.899999999999999</v>
      </c>
      <c r="D17" s="53">
        <f>Лист1!J203/1000</f>
        <v>15.8</v>
      </c>
      <c r="E17" s="54">
        <f>Лист1!V203/1000</f>
        <v>1E-3</v>
      </c>
      <c r="F17" s="2"/>
      <c r="G17" s="2"/>
      <c r="H17" s="4"/>
      <c r="I17" s="15" t="s">
        <v>375</v>
      </c>
      <c r="J17" s="78" t="s">
        <v>130</v>
      </c>
      <c r="K17" s="95">
        <f t="shared" si="0"/>
        <v>18.899999999999999</v>
      </c>
      <c r="L17" s="95">
        <f t="shared" si="1"/>
        <v>15.8</v>
      </c>
      <c r="M17" s="100">
        <f t="shared" si="2"/>
        <v>83.6</v>
      </c>
      <c r="N17" s="97">
        <v>12.4</v>
      </c>
      <c r="O17" s="96">
        <f t="shared" si="3"/>
        <v>0.65600000000000003</v>
      </c>
      <c r="P17" s="19">
        <f t="shared" si="4"/>
        <v>-3.4</v>
      </c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</row>
    <row r="18" spans="1:88" ht="22.15" customHeight="1">
      <c r="C18" s="4"/>
      <c r="D18" s="4"/>
      <c r="E18" s="4"/>
      <c r="I18" s="5"/>
      <c r="J18" s="104"/>
      <c r="K18" s="5"/>
      <c r="L18" s="5"/>
      <c r="M18" s="5"/>
      <c r="N18" s="5"/>
      <c r="O18" s="5"/>
    </row>
    <row r="19" spans="1:88" ht="22.15" customHeight="1">
      <c r="C19" s="4"/>
      <c r="D19" s="4">
        <v>4395</v>
      </c>
      <c r="E19" s="4"/>
      <c r="K19" s="4">
        <f>N19-D19</f>
        <v>672.3</v>
      </c>
      <c r="N19" s="4">
        <v>5067.3</v>
      </c>
    </row>
    <row r="20" spans="1:88" ht="22.15" customHeight="1">
      <c r="C20" s="4"/>
      <c r="D20" s="4"/>
      <c r="E20" s="4"/>
    </row>
    <row r="21" spans="1:88" ht="21" customHeight="1">
      <c r="C21" s="4"/>
      <c r="D21" s="4"/>
      <c r="E21" s="4"/>
    </row>
    <row r="22" spans="1:88" ht="21" customHeight="1">
      <c r="C22" s="4"/>
      <c r="D22" s="4"/>
      <c r="E22" s="4"/>
    </row>
    <row r="23" spans="1:88" ht="21" customHeight="1">
      <c r="C23" s="4"/>
      <c r="D23" s="4"/>
      <c r="E23" s="4"/>
    </row>
    <row r="24" spans="1:88" ht="21" customHeight="1">
      <c r="C24" s="4"/>
      <c r="D24" s="4"/>
      <c r="E24" s="4"/>
    </row>
    <row r="25" spans="1:88" ht="17.45" customHeight="1">
      <c r="C25" s="4"/>
      <c r="D25" s="4"/>
      <c r="E25" s="4"/>
    </row>
    <row r="26" spans="1:88" ht="16.149999999999999" customHeight="1">
      <c r="C26" s="4"/>
      <c r="D26" s="4"/>
      <c r="E26" s="4"/>
    </row>
    <row r="27" spans="1:88" ht="17.45" customHeight="1">
      <c r="C27" s="4"/>
      <c r="D27" s="4"/>
      <c r="E27" s="4"/>
    </row>
    <row r="28" spans="1:88" ht="20.45" customHeight="1">
      <c r="C28" s="4"/>
      <c r="D28" s="4"/>
      <c r="E28" s="4"/>
    </row>
    <row r="29" spans="1:88" ht="16.149999999999999" customHeight="1">
      <c r="C29" s="4"/>
      <c r="D29" s="4"/>
      <c r="E29" s="4"/>
    </row>
    <row r="30" spans="1:88" ht="17.45" customHeight="1">
      <c r="C30" s="4"/>
      <c r="D30" s="4"/>
      <c r="E30" s="4"/>
    </row>
    <row r="31" spans="1:88" ht="17.45" customHeight="1">
      <c r="C31" s="4"/>
      <c r="D31" s="4"/>
      <c r="E31" s="4"/>
    </row>
    <row r="32" spans="1:88">
      <c r="C32" s="4"/>
      <c r="D32" s="4"/>
      <c r="E32" s="4"/>
    </row>
    <row r="33" spans="3:5">
      <c r="C33" s="4"/>
      <c r="D33" s="4"/>
      <c r="E33" s="4"/>
    </row>
    <row r="34" spans="3:5">
      <c r="C34" s="4"/>
      <c r="D34" s="4"/>
      <c r="E34" s="4"/>
    </row>
    <row r="35" spans="3:5">
      <c r="C35" s="4"/>
      <c r="D35" s="4"/>
      <c r="E35" s="4"/>
    </row>
    <row r="36" spans="3:5">
      <c r="C36" s="4"/>
      <c r="D36" s="4"/>
      <c r="E36" s="4"/>
    </row>
    <row r="37" spans="3:5">
      <c r="C37" s="4"/>
      <c r="D37" s="4"/>
      <c r="E37" s="4"/>
    </row>
    <row r="38" spans="3:5">
      <c r="C38" s="4"/>
      <c r="D38" s="4"/>
      <c r="E38" s="4"/>
    </row>
    <row r="39" spans="3:5">
      <c r="C39" s="4"/>
      <c r="D39" s="4"/>
      <c r="E39" s="4"/>
    </row>
    <row r="40" spans="3:5">
      <c r="C40" s="4"/>
      <c r="D40" s="4"/>
      <c r="E40" s="4"/>
    </row>
    <row r="41" spans="3:5">
      <c r="C41" s="4"/>
      <c r="D41" s="4"/>
      <c r="E41" s="4"/>
    </row>
    <row r="42" spans="3:5">
      <c r="C42" s="4"/>
      <c r="D42" s="4"/>
      <c r="E42" s="4"/>
    </row>
    <row r="43" spans="3:5">
      <c r="C43" s="4"/>
      <c r="D43" s="4"/>
      <c r="E43" s="4"/>
    </row>
    <row r="44" spans="3:5">
      <c r="C44" s="4"/>
      <c r="D44" s="4"/>
      <c r="E44" s="4"/>
    </row>
    <row r="45" spans="3:5">
      <c r="C45" s="4"/>
      <c r="D45" s="4"/>
      <c r="E45" s="4"/>
    </row>
    <row r="46" spans="3:5">
      <c r="C46" s="4"/>
      <c r="D46" s="4"/>
      <c r="E46" s="4"/>
    </row>
    <row r="47" spans="3:5">
      <c r="C47" s="4"/>
      <c r="D47" s="4"/>
      <c r="E47" s="4"/>
    </row>
    <row r="48" spans="3:5">
      <c r="C48" s="4"/>
      <c r="D48" s="4"/>
      <c r="E48" s="4"/>
    </row>
    <row r="49" spans="3:5">
      <c r="C49" s="4"/>
      <c r="D49" s="4"/>
      <c r="E49" s="4"/>
    </row>
  </sheetData>
  <mergeCells count="6">
    <mergeCell ref="N4:O4"/>
    <mergeCell ref="A1:E2"/>
    <mergeCell ref="I4:I5"/>
    <mergeCell ref="J4:J5"/>
    <mergeCell ref="K4:K5"/>
    <mergeCell ref="L4:M4"/>
  </mergeCells>
  <pageMargins left="0.7" right="0.7" top="0.75" bottom="0.75" header="0.3" footer="0.3"/>
  <pageSetup paperSize="9" scale="70" orientation="portrait" r:id="rId1"/>
  <colBreaks count="1" manualBreakCount="1">
    <brk id="8" max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Лист1!Заголовки_для_печати</vt:lpstr>
      <vt:lpstr>Лист1!Область_печати</vt:lpstr>
      <vt:lpstr>Лист2!Область_печати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nma</cp:lastModifiedBy>
  <cp:lastPrinted>2021-08-23T08:47:03Z</cp:lastPrinted>
  <dcterms:created xsi:type="dcterms:W3CDTF">2006-09-28T05:33:49Z</dcterms:created>
  <dcterms:modified xsi:type="dcterms:W3CDTF">2021-10-06T05:32:57Z</dcterms:modified>
</cp:coreProperties>
</file>