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740" yWindow="5415" windowWidth="28650" windowHeight="13065"/>
  </bookViews>
  <sheets>
    <sheet name="Лист1" sheetId="1" r:id="rId1"/>
  </sheets>
  <definedNames>
    <definedName name="_xlnm._FilterDatabase" localSheetId="0" hidden="1">Лист1!$E$12:$E$210</definedName>
    <definedName name="Z_8DBC8541_9868_41A7_9A9F_A27FC80CBA37_.wvu.FilterData" localSheetId="0" hidden="1">Лист1!$E$12:$E$210</definedName>
    <definedName name="Z_8DBC8541_9868_41A7_9A9F_A27FC80CBA37_.wvu.PrintArea" localSheetId="0" hidden="1">Лист1!$A$1:$V$210</definedName>
    <definedName name="Z_8DBC8541_9868_41A7_9A9F_A27FC80CBA37_.wvu.PrintTitles" localSheetId="0" hidden="1">Лист1!$4:$7</definedName>
    <definedName name="Z_FE09AB06_1ECE_4486_BCA1_E9D85830708B_.wvu.FilterData" localSheetId="0" hidden="1">Лист1!$E$12:$E$210</definedName>
    <definedName name="Z_FE09AB06_1ECE_4486_BCA1_E9D85830708B_.wvu.PrintArea" localSheetId="0" hidden="1">Лист1!$A$1:$V$210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Лист1!$A$1:$V$210</definedName>
  </definedNames>
  <calcPr calcId="125725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2"/>
    <customWorkbookView name="nma - Личное представление" guid="{FE09AB06-1ECE-4486-BCA1-E9D85830708B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N8" i="1"/>
  <c r="K56" l="1"/>
  <c r="L145" l="1"/>
  <c r="L131"/>
  <c r="L149"/>
  <c r="L137"/>
  <c r="L136"/>
  <c r="L135"/>
  <c r="L121"/>
  <c r="L118"/>
  <c r="L126"/>
  <c r="L37"/>
  <c r="L39"/>
  <c r="L176"/>
  <c r="L163"/>
  <c r="L169"/>
  <c r="L31"/>
  <c r="L32"/>
  <c r="L75"/>
  <c r="L74"/>
  <c r="L72"/>
  <c r="L81"/>
  <c r="L68"/>
  <c r="L61"/>
  <c r="L26"/>
  <c r="L24"/>
  <c r="L56"/>
  <c r="L49"/>
  <c r="L48"/>
  <c r="L185"/>
  <c r="L34"/>
  <c r="K110"/>
  <c r="K62"/>
  <c r="K76"/>
  <c r="K23" l="1"/>
  <c r="K145"/>
  <c r="K107"/>
  <c r="K131"/>
  <c r="K155"/>
  <c r="K153"/>
  <c r="K152"/>
  <c r="K149"/>
  <c r="K123"/>
  <c r="K118"/>
  <c r="K126"/>
  <c r="K38"/>
  <c r="K39"/>
  <c r="K176"/>
  <c r="K163"/>
  <c r="K31"/>
  <c r="K33"/>
  <c r="J33" s="1"/>
  <c r="K32"/>
  <c r="K90"/>
  <c r="K89"/>
  <c r="K75"/>
  <c r="K73"/>
  <c r="K77"/>
  <c r="K74"/>
  <c r="K72"/>
  <c r="K81"/>
  <c r="K66"/>
  <c r="K68"/>
  <c r="K64"/>
  <c r="K61"/>
  <c r="K26"/>
  <c r="K24"/>
  <c r="K20"/>
  <c r="K49"/>
  <c r="K185"/>
  <c r="K34"/>
  <c r="G29"/>
  <c r="G110"/>
  <c r="G91"/>
  <c r="G77"/>
  <c r="G63"/>
  <c r="R33"/>
  <c r="N33"/>
  <c r="I27" l="1"/>
  <c r="L80"/>
  <c r="K91" l="1"/>
  <c r="K80"/>
  <c r="K21"/>
  <c r="K22"/>
  <c r="H195" l="1"/>
  <c r="H194"/>
  <c r="V167"/>
  <c r="F167"/>
  <c r="J167"/>
  <c r="N167"/>
  <c r="R167"/>
  <c r="G164"/>
  <c r="S88"/>
  <c r="O88"/>
  <c r="G88"/>
  <c r="S92"/>
  <c r="O92"/>
  <c r="G92"/>
  <c r="F67"/>
  <c r="V67" s="1"/>
  <c r="J67"/>
  <c r="N67"/>
  <c r="R67"/>
  <c r="G195"/>
  <c r="G194"/>
  <c r="L44"/>
  <c r="K122"/>
  <c r="K44"/>
  <c r="G186"/>
  <c r="H181"/>
  <c r="H182"/>
  <c r="T188"/>
  <c r="P188"/>
  <c r="H188"/>
  <c r="T186"/>
  <c r="P186"/>
  <c r="H186"/>
  <c r="T187"/>
  <c r="P187"/>
  <c r="P183" s="1"/>
  <c r="H187"/>
  <c r="H208"/>
  <c r="P121"/>
  <c r="H121"/>
  <c r="G208"/>
  <c r="S188"/>
  <c r="O188"/>
  <c r="O183" s="1"/>
  <c r="G188"/>
  <c r="S187"/>
  <c r="S183" s="1"/>
  <c r="O187"/>
  <c r="G187"/>
  <c r="S186"/>
  <c r="O186"/>
  <c r="U183"/>
  <c r="T183"/>
  <c r="Q183"/>
  <c r="L183"/>
  <c r="M183"/>
  <c r="K183"/>
  <c r="I183"/>
  <c r="F185"/>
  <c r="J185"/>
  <c r="N185"/>
  <c r="R185"/>
  <c r="G191"/>
  <c r="F192"/>
  <c r="J192"/>
  <c r="V192" s="1"/>
  <c r="N192"/>
  <c r="R192"/>
  <c r="G182"/>
  <c r="G181"/>
  <c r="V185" l="1"/>
  <c r="G183"/>
  <c r="H183"/>
  <c r="G19"/>
  <c r="F183" l="1"/>
  <c r="K127"/>
  <c r="G159"/>
  <c r="G149"/>
  <c r="G52"/>
  <c r="H56"/>
  <c r="T127"/>
  <c r="U127"/>
  <c r="S127"/>
  <c r="P127"/>
  <c r="Q127"/>
  <c r="O127"/>
  <c r="L127"/>
  <c r="M127"/>
  <c r="H127"/>
  <c r="I127"/>
  <c r="G127"/>
  <c r="F130"/>
  <c r="J130"/>
  <c r="N130"/>
  <c r="R130"/>
  <c r="F127" l="1"/>
  <c r="V130"/>
  <c r="F30"/>
  <c r="J30"/>
  <c r="N30"/>
  <c r="R30"/>
  <c r="S109"/>
  <c r="O109"/>
  <c r="G109"/>
  <c r="R122"/>
  <c r="N122"/>
  <c r="J122"/>
  <c r="F122"/>
  <c r="G119"/>
  <c r="M10"/>
  <c r="H10"/>
  <c r="G10"/>
  <c r="R15"/>
  <c r="N15"/>
  <c r="J15"/>
  <c r="F15"/>
  <c r="U59"/>
  <c r="T59"/>
  <c r="Q59"/>
  <c r="P59"/>
  <c r="L59"/>
  <c r="M59"/>
  <c r="K59"/>
  <c r="G66"/>
  <c r="I59"/>
  <c r="H59"/>
  <c r="G59"/>
  <c r="R69"/>
  <c r="N69"/>
  <c r="J69"/>
  <c r="F69"/>
  <c r="G56"/>
  <c r="S208"/>
  <c r="O208"/>
  <c r="G190"/>
  <c r="G198"/>
  <c r="H149"/>
  <c r="V15" l="1"/>
  <c r="V69"/>
  <c r="V122"/>
  <c r="H52"/>
  <c r="F68" l="1"/>
  <c r="J68"/>
  <c r="N68"/>
  <c r="R68"/>
  <c r="V68" l="1"/>
  <c r="G35"/>
  <c r="G27" l="1"/>
  <c r="F33"/>
  <c r="G143" l="1"/>
  <c r="G142"/>
  <c r="F142" s="1"/>
  <c r="F121"/>
  <c r="R208"/>
  <c r="R207"/>
  <c r="R203"/>
  <c r="R202"/>
  <c r="R198"/>
  <c r="R195"/>
  <c r="R194"/>
  <c r="R193"/>
  <c r="R191"/>
  <c r="R190"/>
  <c r="R189"/>
  <c r="R188"/>
  <c r="R187"/>
  <c r="R186"/>
  <c r="R182"/>
  <c r="R181"/>
  <c r="R177"/>
  <c r="R176"/>
  <c r="R175"/>
  <c r="R172"/>
  <c r="R169"/>
  <c r="R168"/>
  <c r="R166"/>
  <c r="R165"/>
  <c r="R164"/>
  <c r="R163"/>
  <c r="R159"/>
  <c r="R158"/>
  <c r="R155"/>
  <c r="R154"/>
  <c r="R153"/>
  <c r="R152"/>
  <c r="R149"/>
  <c r="R145"/>
  <c r="R142"/>
  <c r="R141"/>
  <c r="R137"/>
  <c r="R136"/>
  <c r="R135"/>
  <c r="R131"/>
  <c r="R129"/>
  <c r="R126"/>
  <c r="R123"/>
  <c r="R121"/>
  <c r="R118"/>
  <c r="R114"/>
  <c r="R113"/>
  <c r="R110"/>
  <c r="R109"/>
  <c r="R108"/>
  <c r="R107"/>
  <c r="R104"/>
  <c r="R103"/>
  <c r="R100"/>
  <c r="R97"/>
  <c r="R93"/>
  <c r="R92"/>
  <c r="R91"/>
  <c r="R90"/>
  <c r="R89"/>
  <c r="R88"/>
  <c r="R85"/>
  <c r="R84"/>
  <c r="R83"/>
  <c r="R82"/>
  <c r="R81"/>
  <c r="R80"/>
  <c r="R77"/>
  <c r="R76"/>
  <c r="R75"/>
  <c r="R74"/>
  <c r="R73"/>
  <c r="R72"/>
  <c r="R66"/>
  <c r="R65"/>
  <c r="R64"/>
  <c r="R63"/>
  <c r="R62"/>
  <c r="R61"/>
  <c r="R57"/>
  <c r="R56"/>
  <c r="R55"/>
  <c r="R52"/>
  <c r="R49"/>
  <c r="R48"/>
  <c r="R45"/>
  <c r="R44"/>
  <c r="R43"/>
  <c r="R39"/>
  <c r="R38"/>
  <c r="R37"/>
  <c r="R34"/>
  <c r="R32"/>
  <c r="R31"/>
  <c r="R29"/>
  <c r="R26"/>
  <c r="R25"/>
  <c r="R24"/>
  <c r="R23"/>
  <c r="R22"/>
  <c r="R21"/>
  <c r="R20"/>
  <c r="R19"/>
  <c r="R16"/>
  <c r="R14"/>
  <c r="R13"/>
  <c r="R12"/>
  <c r="U205"/>
  <c r="U204" s="1"/>
  <c r="U200"/>
  <c r="U199" s="1"/>
  <c r="U196"/>
  <c r="U179"/>
  <c r="U173"/>
  <c r="U170"/>
  <c r="U161"/>
  <c r="U156"/>
  <c r="U150"/>
  <c r="U147"/>
  <c r="U143"/>
  <c r="U139"/>
  <c r="U133"/>
  <c r="U124"/>
  <c r="U116"/>
  <c r="U111"/>
  <c r="U105"/>
  <c r="U101"/>
  <c r="U98"/>
  <c r="U95"/>
  <c r="U86"/>
  <c r="U78"/>
  <c r="U70"/>
  <c r="U53"/>
  <c r="U50"/>
  <c r="U46"/>
  <c r="U41"/>
  <c r="U35"/>
  <c r="U27"/>
  <c r="U17"/>
  <c r="U10"/>
  <c r="N12"/>
  <c r="N208"/>
  <c r="N207"/>
  <c r="N203"/>
  <c r="N202"/>
  <c r="N198"/>
  <c r="N195"/>
  <c r="N194"/>
  <c r="N193"/>
  <c r="N191"/>
  <c r="N190"/>
  <c r="N189"/>
  <c r="N188"/>
  <c r="N187"/>
  <c r="N186"/>
  <c r="N182"/>
  <c r="N181"/>
  <c r="N177"/>
  <c r="N176"/>
  <c r="N175"/>
  <c r="N172"/>
  <c r="N169"/>
  <c r="N168"/>
  <c r="N166"/>
  <c r="N165"/>
  <c r="N164"/>
  <c r="N163"/>
  <c r="N159"/>
  <c r="N158"/>
  <c r="N155"/>
  <c r="N154"/>
  <c r="N153"/>
  <c r="N152"/>
  <c r="N149"/>
  <c r="N145"/>
  <c r="N142"/>
  <c r="N141"/>
  <c r="N137"/>
  <c r="N136"/>
  <c r="N135"/>
  <c r="N131"/>
  <c r="N129"/>
  <c r="N126"/>
  <c r="N123"/>
  <c r="N121"/>
  <c r="N118"/>
  <c r="N114"/>
  <c r="N113"/>
  <c r="N110"/>
  <c r="N109"/>
  <c r="N108"/>
  <c r="N107"/>
  <c r="N104"/>
  <c r="N103"/>
  <c r="N100"/>
  <c r="N97"/>
  <c r="N93"/>
  <c r="N92"/>
  <c r="N91"/>
  <c r="N90"/>
  <c r="N89"/>
  <c r="N88"/>
  <c r="N85"/>
  <c r="N84"/>
  <c r="N83"/>
  <c r="N82"/>
  <c r="N81"/>
  <c r="N80"/>
  <c r="N77"/>
  <c r="N76"/>
  <c r="N75"/>
  <c r="N74"/>
  <c r="N73"/>
  <c r="N72"/>
  <c r="N66"/>
  <c r="N65"/>
  <c r="N64"/>
  <c r="N63"/>
  <c r="N62"/>
  <c r="N61"/>
  <c r="N57"/>
  <c r="N56"/>
  <c r="N55"/>
  <c r="N52"/>
  <c r="N49"/>
  <c r="N48"/>
  <c r="N45"/>
  <c r="N44"/>
  <c r="N43"/>
  <c r="N39"/>
  <c r="N38"/>
  <c r="N37"/>
  <c r="N34"/>
  <c r="N32"/>
  <c r="N31"/>
  <c r="N29"/>
  <c r="N26"/>
  <c r="N25"/>
  <c r="N24"/>
  <c r="N23"/>
  <c r="N22"/>
  <c r="N21"/>
  <c r="N20"/>
  <c r="N19"/>
  <c r="N16"/>
  <c r="N14"/>
  <c r="N13"/>
  <c r="Q205"/>
  <c r="Q204" s="1"/>
  <c r="Q200"/>
  <c r="Q199" s="1"/>
  <c r="Q196"/>
  <c r="Q179"/>
  <c r="Q173"/>
  <c r="Q170"/>
  <c r="Q161"/>
  <c r="Q156"/>
  <c r="Q150"/>
  <c r="Q147"/>
  <c r="Q143"/>
  <c r="Q139"/>
  <c r="Q133"/>
  <c r="Q124"/>
  <c r="Q116"/>
  <c r="Q111"/>
  <c r="Q105"/>
  <c r="Q101"/>
  <c r="Q98"/>
  <c r="Q95"/>
  <c r="Q86"/>
  <c r="Q78"/>
  <c r="Q70"/>
  <c r="Q53"/>
  <c r="Q50"/>
  <c r="Q46"/>
  <c r="Q41"/>
  <c r="Q35"/>
  <c r="Q27"/>
  <c r="Q17"/>
  <c r="Q10"/>
  <c r="J208"/>
  <c r="J207"/>
  <c r="M205"/>
  <c r="M204" s="1"/>
  <c r="L205"/>
  <c r="L204" s="1"/>
  <c r="K205"/>
  <c r="K204" s="1"/>
  <c r="J203"/>
  <c r="J202"/>
  <c r="M200"/>
  <c r="M199" s="1"/>
  <c r="L200"/>
  <c r="L199" s="1"/>
  <c r="K200"/>
  <c r="K199" s="1"/>
  <c r="J198"/>
  <c r="M196"/>
  <c r="L196"/>
  <c r="K196"/>
  <c r="J195"/>
  <c r="J194"/>
  <c r="J193"/>
  <c r="J191"/>
  <c r="J190"/>
  <c r="J189"/>
  <c r="J188"/>
  <c r="J187"/>
  <c r="J186"/>
  <c r="J182"/>
  <c r="J181"/>
  <c r="M179"/>
  <c r="L179"/>
  <c r="K179"/>
  <c r="J177"/>
  <c r="J176"/>
  <c r="J175"/>
  <c r="M173"/>
  <c r="L173"/>
  <c r="K173"/>
  <c r="J172"/>
  <c r="M170"/>
  <c r="L170"/>
  <c r="K170"/>
  <c r="J169"/>
  <c r="J168"/>
  <c r="J166"/>
  <c r="J165"/>
  <c r="J164"/>
  <c r="J163"/>
  <c r="M161"/>
  <c r="L161"/>
  <c r="K161"/>
  <c r="J159"/>
  <c r="J158"/>
  <c r="M156"/>
  <c r="L156"/>
  <c r="K156"/>
  <c r="J155"/>
  <c r="J154"/>
  <c r="J153"/>
  <c r="J152"/>
  <c r="M150"/>
  <c r="L150"/>
  <c r="K150"/>
  <c r="J149"/>
  <c r="M147"/>
  <c r="L147"/>
  <c r="K147"/>
  <c r="J145"/>
  <c r="M143"/>
  <c r="L143"/>
  <c r="K143"/>
  <c r="J142"/>
  <c r="J141"/>
  <c r="M139"/>
  <c r="L139"/>
  <c r="K139"/>
  <c r="J137"/>
  <c r="J136"/>
  <c r="J135"/>
  <c r="M133"/>
  <c r="L133"/>
  <c r="K133"/>
  <c r="J131"/>
  <c r="J129"/>
  <c r="J126"/>
  <c r="M124"/>
  <c r="L124"/>
  <c r="K124"/>
  <c r="J123"/>
  <c r="J121"/>
  <c r="L119"/>
  <c r="K119"/>
  <c r="J118"/>
  <c r="M116"/>
  <c r="L116"/>
  <c r="K116"/>
  <c r="J114"/>
  <c r="J113"/>
  <c r="M111"/>
  <c r="L111"/>
  <c r="K111"/>
  <c r="J110"/>
  <c r="J109"/>
  <c r="J108"/>
  <c r="J107"/>
  <c r="M105"/>
  <c r="L105"/>
  <c r="K105"/>
  <c r="J104"/>
  <c r="J103"/>
  <c r="M101"/>
  <c r="L101"/>
  <c r="K101"/>
  <c r="J100"/>
  <c r="M98"/>
  <c r="L98"/>
  <c r="K98"/>
  <c r="J97"/>
  <c r="M95"/>
  <c r="L95"/>
  <c r="K95"/>
  <c r="J93"/>
  <c r="J92"/>
  <c r="J91"/>
  <c r="J90"/>
  <c r="J89"/>
  <c r="J88"/>
  <c r="M86"/>
  <c r="L86"/>
  <c r="K86"/>
  <c r="J85"/>
  <c r="J84"/>
  <c r="J83"/>
  <c r="J82"/>
  <c r="J81"/>
  <c r="J80"/>
  <c r="M78"/>
  <c r="L78"/>
  <c r="K78"/>
  <c r="J77"/>
  <c r="J76"/>
  <c r="J75"/>
  <c r="J74"/>
  <c r="J73"/>
  <c r="J72"/>
  <c r="M70"/>
  <c r="L70"/>
  <c r="K70"/>
  <c r="J66"/>
  <c r="J65"/>
  <c r="J64"/>
  <c r="J63"/>
  <c r="J62"/>
  <c r="J61"/>
  <c r="J57"/>
  <c r="J56"/>
  <c r="J55"/>
  <c r="M53"/>
  <c r="L53"/>
  <c r="K53"/>
  <c r="J52"/>
  <c r="M50"/>
  <c r="L50"/>
  <c r="K50"/>
  <c r="J49"/>
  <c r="J48"/>
  <c r="M46"/>
  <c r="L46"/>
  <c r="K46"/>
  <c r="J45"/>
  <c r="J44"/>
  <c r="J43"/>
  <c r="M41"/>
  <c r="L41"/>
  <c r="K41"/>
  <c r="J39"/>
  <c r="J38"/>
  <c r="J37"/>
  <c r="M35"/>
  <c r="L35"/>
  <c r="K35"/>
  <c r="J34"/>
  <c r="J32"/>
  <c r="J31"/>
  <c r="J29"/>
  <c r="M27"/>
  <c r="L27"/>
  <c r="K27"/>
  <c r="J26"/>
  <c r="J25"/>
  <c r="J24"/>
  <c r="J23"/>
  <c r="J22"/>
  <c r="J21"/>
  <c r="J20"/>
  <c r="J19"/>
  <c r="M17"/>
  <c r="L17"/>
  <c r="K17"/>
  <c r="J16"/>
  <c r="J14"/>
  <c r="J13"/>
  <c r="J12"/>
  <c r="L10"/>
  <c r="K10"/>
  <c r="F12"/>
  <c r="F13"/>
  <c r="F14"/>
  <c r="F16"/>
  <c r="F19"/>
  <c r="F20"/>
  <c r="F21"/>
  <c r="F22"/>
  <c r="F23"/>
  <c r="F24"/>
  <c r="F25"/>
  <c r="F26"/>
  <c r="F29"/>
  <c r="F31"/>
  <c r="F32"/>
  <c r="F34"/>
  <c r="F37"/>
  <c r="F38"/>
  <c r="F39"/>
  <c r="F43"/>
  <c r="F44"/>
  <c r="F45"/>
  <c r="F48"/>
  <c r="F49"/>
  <c r="F52"/>
  <c r="F55"/>
  <c r="F56"/>
  <c r="F57"/>
  <c r="F61"/>
  <c r="F62"/>
  <c r="F63"/>
  <c r="F64"/>
  <c r="F65"/>
  <c r="F66"/>
  <c r="F72"/>
  <c r="F73"/>
  <c r="F74"/>
  <c r="F75"/>
  <c r="F76"/>
  <c r="F77"/>
  <c r="F80"/>
  <c r="F81"/>
  <c r="F82"/>
  <c r="F83"/>
  <c r="F84"/>
  <c r="F85"/>
  <c r="F88"/>
  <c r="F89"/>
  <c r="F90"/>
  <c r="F91"/>
  <c r="F92"/>
  <c r="F93"/>
  <c r="F97"/>
  <c r="F100"/>
  <c r="F103"/>
  <c r="F104"/>
  <c r="F107"/>
  <c r="F108"/>
  <c r="F109"/>
  <c r="F110"/>
  <c r="F113"/>
  <c r="F114"/>
  <c r="F118"/>
  <c r="F123"/>
  <c r="F126"/>
  <c r="F129"/>
  <c r="F131"/>
  <c r="F135"/>
  <c r="F136"/>
  <c r="F137"/>
  <c r="F141"/>
  <c r="F145"/>
  <c r="F149"/>
  <c r="F152"/>
  <c r="F153"/>
  <c r="F154"/>
  <c r="F155"/>
  <c r="F158"/>
  <c r="F159"/>
  <c r="F163"/>
  <c r="F164"/>
  <c r="F165"/>
  <c r="F166"/>
  <c r="F168"/>
  <c r="F169"/>
  <c r="F172"/>
  <c r="F175"/>
  <c r="F176"/>
  <c r="F177"/>
  <c r="F181"/>
  <c r="F182"/>
  <c r="F186"/>
  <c r="F187"/>
  <c r="F188"/>
  <c r="F189"/>
  <c r="F190"/>
  <c r="F191"/>
  <c r="F193"/>
  <c r="F194"/>
  <c r="F195"/>
  <c r="F198"/>
  <c r="F202"/>
  <c r="F203"/>
  <c r="F207"/>
  <c r="F208"/>
  <c r="I205"/>
  <c r="I204" s="1"/>
  <c r="I200"/>
  <c r="I199" s="1"/>
  <c r="I196"/>
  <c r="I179"/>
  <c r="I173"/>
  <c r="I170"/>
  <c r="I161"/>
  <c r="I156"/>
  <c r="I150"/>
  <c r="I147"/>
  <c r="I143"/>
  <c r="I139"/>
  <c r="I133"/>
  <c r="I124"/>
  <c r="I116"/>
  <c r="I111"/>
  <c r="I105"/>
  <c r="I101"/>
  <c r="I98"/>
  <c r="I95"/>
  <c r="I86"/>
  <c r="I78"/>
  <c r="I70"/>
  <c r="I53"/>
  <c r="I50"/>
  <c r="I46"/>
  <c r="I41"/>
  <c r="I35"/>
  <c r="I17"/>
  <c r="I10"/>
  <c r="Q9" l="1"/>
  <c r="R59"/>
  <c r="V64"/>
  <c r="K58"/>
  <c r="I9"/>
  <c r="K132"/>
  <c r="I178"/>
  <c r="Q58"/>
  <c r="Q132"/>
  <c r="K178"/>
  <c r="Q178"/>
  <c r="M132"/>
  <c r="M178"/>
  <c r="L178"/>
  <c r="U178"/>
  <c r="U132"/>
  <c r="I132"/>
  <c r="L132"/>
  <c r="L58"/>
  <c r="U58"/>
  <c r="M58"/>
  <c r="I58"/>
  <c r="I40"/>
  <c r="L40"/>
  <c r="K40"/>
  <c r="U40"/>
  <c r="Q40"/>
  <c r="M40"/>
  <c r="L9"/>
  <c r="M9"/>
  <c r="K9"/>
  <c r="U9"/>
  <c r="V152"/>
  <c r="V109"/>
  <c r="V107"/>
  <c r="V169"/>
  <c r="V14"/>
  <c r="V77"/>
  <c r="V75"/>
  <c r="V149"/>
  <c r="V155"/>
  <c r="V142"/>
  <c r="V55"/>
  <c r="V45"/>
  <c r="V43"/>
  <c r="V29"/>
  <c r="V21"/>
  <c r="V26"/>
  <c r="V44"/>
  <c r="V49"/>
  <c r="V56"/>
  <c r="V89"/>
  <c r="V97"/>
  <c r="V114"/>
  <c r="V118"/>
  <c r="V136"/>
  <c r="V91"/>
  <c r="V88"/>
  <c r="V13"/>
  <c r="V57"/>
  <c r="V61"/>
  <c r="V66"/>
  <c r="V73"/>
  <c r="V76"/>
  <c r="V90"/>
  <c r="V110"/>
  <c r="V137"/>
  <c r="V153"/>
  <c r="V159"/>
  <c r="V172"/>
  <c r="V175"/>
  <c r="V194"/>
  <c r="U160"/>
  <c r="V52"/>
  <c r="V74"/>
  <c r="V32"/>
  <c r="V34"/>
  <c r="V163"/>
  <c r="V202"/>
  <c r="I94"/>
  <c r="V121"/>
  <c r="V38"/>
  <c r="V12"/>
  <c r="V16"/>
  <c r="V37"/>
  <c r="V72"/>
  <c r="V81"/>
  <c r="V84"/>
  <c r="V177"/>
  <c r="V181"/>
  <c r="V82"/>
  <c r="V20"/>
  <c r="V23"/>
  <c r="V25"/>
  <c r="V31"/>
  <c r="V48"/>
  <c r="V63"/>
  <c r="V80"/>
  <c r="V83"/>
  <c r="V92"/>
  <c r="L94"/>
  <c r="J101"/>
  <c r="V131"/>
  <c r="V135"/>
  <c r="V145"/>
  <c r="V189"/>
  <c r="V19"/>
  <c r="V22"/>
  <c r="V24"/>
  <c r="V39"/>
  <c r="V62"/>
  <c r="V85"/>
  <c r="V100"/>
  <c r="V108"/>
  <c r="V123"/>
  <c r="V126"/>
  <c r="V129"/>
  <c r="M146"/>
  <c r="V154"/>
  <c r="V176"/>
  <c r="V182"/>
  <c r="V190"/>
  <c r="V195"/>
  <c r="V198"/>
  <c r="V203"/>
  <c r="V208"/>
  <c r="U146"/>
  <c r="M94"/>
  <c r="U94"/>
  <c r="J196"/>
  <c r="J205"/>
  <c r="U115"/>
  <c r="J86"/>
  <c r="Q146"/>
  <c r="J116"/>
  <c r="M115"/>
  <c r="Q160"/>
  <c r="M160"/>
  <c r="J98"/>
  <c r="J105"/>
  <c r="J143"/>
  <c r="J173"/>
  <c r="I146"/>
  <c r="J27"/>
  <c r="J95"/>
  <c r="J124"/>
  <c r="J139"/>
  <c r="Q115"/>
  <c r="J53"/>
  <c r="L146"/>
  <c r="J156"/>
  <c r="Q94"/>
  <c r="J183"/>
  <c r="L160"/>
  <c r="J170"/>
  <c r="J161"/>
  <c r="K146"/>
  <c r="J147"/>
  <c r="J133"/>
  <c r="J127"/>
  <c r="L115"/>
  <c r="K115"/>
  <c r="J111"/>
  <c r="J78"/>
  <c r="J70"/>
  <c r="J59"/>
  <c r="J50"/>
  <c r="J46"/>
  <c r="J41"/>
  <c r="J35"/>
  <c r="J17"/>
  <c r="J10"/>
  <c r="J150"/>
  <c r="K160"/>
  <c r="J179"/>
  <c r="J200"/>
  <c r="K94"/>
  <c r="J119"/>
  <c r="I160"/>
  <c r="I115"/>
  <c r="J178" l="1"/>
  <c r="J146"/>
  <c r="J199"/>
  <c r="M8"/>
  <c r="J94"/>
  <c r="J115"/>
  <c r="J204"/>
  <c r="U8"/>
  <c r="Q8"/>
  <c r="J160"/>
  <c r="J132"/>
  <c r="J58"/>
  <c r="L8"/>
  <c r="J40"/>
  <c r="J9"/>
  <c r="K8"/>
  <c r="I8"/>
  <c r="J8" l="1"/>
  <c r="G139" l="1"/>
  <c r="H139"/>
  <c r="O139"/>
  <c r="P139"/>
  <c r="S139"/>
  <c r="T139"/>
  <c r="G111"/>
  <c r="H111"/>
  <c r="O111"/>
  <c r="P111"/>
  <c r="S111"/>
  <c r="T111"/>
  <c r="G124"/>
  <c r="H124"/>
  <c r="O124"/>
  <c r="P124"/>
  <c r="S124"/>
  <c r="T124"/>
  <c r="G196"/>
  <c r="H196"/>
  <c r="O196"/>
  <c r="P196"/>
  <c r="S196"/>
  <c r="T196"/>
  <c r="T205"/>
  <c r="T204" s="1"/>
  <c r="S205"/>
  <c r="S204" s="1"/>
  <c r="T200"/>
  <c r="T199" s="1"/>
  <c r="S200"/>
  <c r="S199" s="1"/>
  <c r="T179"/>
  <c r="S179"/>
  <c r="T173"/>
  <c r="S173"/>
  <c r="T170"/>
  <c r="S170"/>
  <c r="T161"/>
  <c r="S161"/>
  <c r="T156"/>
  <c r="S156"/>
  <c r="T150"/>
  <c r="S150"/>
  <c r="T147"/>
  <c r="S147"/>
  <c r="T143"/>
  <c r="S143"/>
  <c r="T133"/>
  <c r="S133"/>
  <c r="T119"/>
  <c r="S119"/>
  <c r="T116"/>
  <c r="S116"/>
  <c r="T105"/>
  <c r="S105"/>
  <c r="T101"/>
  <c r="S101"/>
  <c r="T98"/>
  <c r="S98"/>
  <c r="T95"/>
  <c r="S95"/>
  <c r="T86"/>
  <c r="S86"/>
  <c r="T78"/>
  <c r="S78"/>
  <c r="T70"/>
  <c r="S70"/>
  <c r="S59"/>
  <c r="T53"/>
  <c r="S53"/>
  <c r="T50"/>
  <c r="S50"/>
  <c r="T46"/>
  <c r="S46"/>
  <c r="T41"/>
  <c r="S41"/>
  <c r="T35"/>
  <c r="S35"/>
  <c r="T27"/>
  <c r="S27"/>
  <c r="T17"/>
  <c r="S17"/>
  <c r="T10"/>
  <c r="S10"/>
  <c r="P205"/>
  <c r="P204" s="1"/>
  <c r="O205"/>
  <c r="O204" s="1"/>
  <c r="P200"/>
  <c r="P199" s="1"/>
  <c r="O200"/>
  <c r="O199" s="1"/>
  <c r="P179"/>
  <c r="O179"/>
  <c r="P173"/>
  <c r="O173"/>
  <c r="P170"/>
  <c r="O170"/>
  <c r="P161"/>
  <c r="O161"/>
  <c r="P156"/>
  <c r="O156"/>
  <c r="P150"/>
  <c r="O150"/>
  <c r="P147"/>
  <c r="O147"/>
  <c r="P143"/>
  <c r="O143"/>
  <c r="P133"/>
  <c r="O133"/>
  <c r="P119"/>
  <c r="O119"/>
  <c r="P116"/>
  <c r="O116"/>
  <c r="P105"/>
  <c r="O105"/>
  <c r="P101"/>
  <c r="O101"/>
  <c r="P98"/>
  <c r="O98"/>
  <c r="P95"/>
  <c r="O95"/>
  <c r="P86"/>
  <c r="O86"/>
  <c r="P78"/>
  <c r="O78"/>
  <c r="P70"/>
  <c r="O70"/>
  <c r="O59"/>
  <c r="P53"/>
  <c r="O53"/>
  <c r="P50"/>
  <c r="O50"/>
  <c r="P46"/>
  <c r="O46"/>
  <c r="P41"/>
  <c r="O41"/>
  <c r="P35"/>
  <c r="O35"/>
  <c r="P27"/>
  <c r="O27"/>
  <c r="P17"/>
  <c r="O17"/>
  <c r="P10"/>
  <c r="O10"/>
  <c r="H205"/>
  <c r="H204" s="1"/>
  <c r="G205"/>
  <c r="G204" s="1"/>
  <c r="G200"/>
  <c r="G199" s="1"/>
  <c r="H179"/>
  <c r="G179"/>
  <c r="G173"/>
  <c r="H173"/>
  <c r="H170"/>
  <c r="G170"/>
  <c r="H161"/>
  <c r="H156"/>
  <c r="G156"/>
  <c r="H150"/>
  <c r="H147"/>
  <c r="G147"/>
  <c r="H143"/>
  <c r="H133"/>
  <c r="G133"/>
  <c r="H119"/>
  <c r="G116"/>
  <c r="H116"/>
  <c r="H105"/>
  <c r="H101"/>
  <c r="H98"/>
  <c r="H95"/>
  <c r="G86"/>
  <c r="H86"/>
  <c r="H78"/>
  <c r="G70"/>
  <c r="H70"/>
  <c r="H50"/>
  <c r="G50"/>
  <c r="G46"/>
  <c r="H41"/>
  <c r="H17"/>
  <c r="P9" l="1"/>
  <c r="R139"/>
  <c r="G132"/>
  <c r="O132"/>
  <c r="O178"/>
  <c r="O58"/>
  <c r="G178"/>
  <c r="H178"/>
  <c r="P58"/>
  <c r="P132"/>
  <c r="P178"/>
  <c r="H132"/>
  <c r="T58"/>
  <c r="T132"/>
  <c r="T178"/>
  <c r="S58"/>
  <c r="S132"/>
  <c r="S178"/>
  <c r="O9"/>
  <c r="O40"/>
  <c r="S40"/>
  <c r="P40"/>
  <c r="T40"/>
  <c r="T9"/>
  <c r="S9"/>
  <c r="R196"/>
  <c r="R17"/>
  <c r="R35"/>
  <c r="R41"/>
  <c r="R53"/>
  <c r="R70"/>
  <c r="R86"/>
  <c r="R95"/>
  <c r="R101"/>
  <c r="R116"/>
  <c r="R133"/>
  <c r="R147"/>
  <c r="R170"/>
  <c r="R179"/>
  <c r="R200"/>
  <c r="R10"/>
  <c r="R27"/>
  <c r="R46"/>
  <c r="R50"/>
  <c r="R78"/>
  <c r="R98"/>
  <c r="R105"/>
  <c r="R119"/>
  <c r="R143"/>
  <c r="R150"/>
  <c r="R161"/>
  <c r="R173"/>
  <c r="R183"/>
  <c r="R127"/>
  <c r="R156"/>
  <c r="R124"/>
  <c r="R205"/>
  <c r="R111"/>
  <c r="N119"/>
  <c r="F196"/>
  <c r="V196" s="1"/>
  <c r="N124"/>
  <c r="N127"/>
  <c r="N111"/>
  <c r="N139"/>
  <c r="N205"/>
  <c r="N17"/>
  <c r="N35"/>
  <c r="N41"/>
  <c r="N53"/>
  <c r="N70"/>
  <c r="N86"/>
  <c r="N95"/>
  <c r="N101"/>
  <c r="N116"/>
  <c r="N133"/>
  <c r="N147"/>
  <c r="N156"/>
  <c r="N170"/>
  <c r="N179"/>
  <c r="N200"/>
  <c r="N10"/>
  <c r="N27"/>
  <c r="N46"/>
  <c r="N50"/>
  <c r="N59"/>
  <c r="N78"/>
  <c r="N98"/>
  <c r="N105"/>
  <c r="N143"/>
  <c r="N150"/>
  <c r="N161"/>
  <c r="N173"/>
  <c r="N183"/>
  <c r="N196"/>
  <c r="F124"/>
  <c r="V124" s="1"/>
  <c r="V127"/>
  <c r="F111"/>
  <c r="V111" s="1"/>
  <c r="F139"/>
  <c r="V139" s="1"/>
  <c r="F86"/>
  <c r="V86" s="1"/>
  <c r="F116"/>
  <c r="V116" s="1"/>
  <c r="F147"/>
  <c r="V147" s="1"/>
  <c r="V183"/>
  <c r="F205"/>
  <c r="V205" s="1"/>
  <c r="F50"/>
  <c r="V50" s="1"/>
  <c r="F133"/>
  <c r="V133" s="1"/>
  <c r="F143"/>
  <c r="V143" s="1"/>
  <c r="F170"/>
  <c r="V170" s="1"/>
  <c r="F179"/>
  <c r="F156"/>
  <c r="V156" s="1"/>
  <c r="F70"/>
  <c r="V70" s="1"/>
  <c r="F173"/>
  <c r="V173" s="1"/>
  <c r="T115"/>
  <c r="P115"/>
  <c r="P146"/>
  <c r="T160"/>
  <c r="O115"/>
  <c r="S115"/>
  <c r="T146"/>
  <c r="H115"/>
  <c r="P160"/>
  <c r="H146"/>
  <c r="T94"/>
  <c r="P94"/>
  <c r="H160"/>
  <c r="S146"/>
  <c r="O160"/>
  <c r="S94"/>
  <c r="S160"/>
  <c r="O94"/>
  <c r="O146"/>
  <c r="G41"/>
  <c r="G161"/>
  <c r="H35"/>
  <c r="F35" s="1"/>
  <c r="V35" s="1"/>
  <c r="G150"/>
  <c r="H27"/>
  <c r="F27" s="1"/>
  <c r="V27" s="1"/>
  <c r="H46"/>
  <c r="F46" s="1"/>
  <c r="V46" s="1"/>
  <c r="G105"/>
  <c r="F105" s="1"/>
  <c r="V105" s="1"/>
  <c r="G17"/>
  <c r="F17" s="1"/>
  <c r="V17" s="1"/>
  <c r="H58"/>
  <c r="H94"/>
  <c r="G95"/>
  <c r="F95" s="1"/>
  <c r="V95" s="1"/>
  <c r="G101"/>
  <c r="F101" s="1"/>
  <c r="G98"/>
  <c r="F98" s="1"/>
  <c r="V98" s="1"/>
  <c r="H200"/>
  <c r="H199" s="1"/>
  <c r="H53"/>
  <c r="G53"/>
  <c r="G78"/>
  <c r="F78" s="1"/>
  <c r="V78" s="1"/>
  <c r="G58" l="1"/>
  <c r="F58" s="1"/>
  <c r="V58" s="1"/>
  <c r="V179"/>
  <c r="F178"/>
  <c r="V178" s="1"/>
  <c r="H40"/>
  <c r="F41"/>
  <c r="V41" s="1"/>
  <c r="G40"/>
  <c r="N132"/>
  <c r="H9"/>
  <c r="G9"/>
  <c r="R115"/>
  <c r="R178"/>
  <c r="R9"/>
  <c r="R160"/>
  <c r="R204"/>
  <c r="R199"/>
  <c r="R132"/>
  <c r="R58"/>
  <c r="N178"/>
  <c r="N115"/>
  <c r="N94"/>
  <c r="N9"/>
  <c r="R94"/>
  <c r="R146"/>
  <c r="N204"/>
  <c r="N160"/>
  <c r="R40"/>
  <c r="N146"/>
  <c r="G115"/>
  <c r="F115" s="1"/>
  <c r="V115" s="1"/>
  <c r="F119"/>
  <c r="V119" s="1"/>
  <c r="N40"/>
  <c r="N199"/>
  <c r="N58"/>
  <c r="F59"/>
  <c r="V59" s="1"/>
  <c r="G160"/>
  <c r="F160" s="1"/>
  <c r="V160" s="1"/>
  <c r="F161"/>
  <c r="V161" s="1"/>
  <c r="F199"/>
  <c r="V199" s="1"/>
  <c r="F53"/>
  <c r="V53" s="1"/>
  <c r="F204"/>
  <c r="V204" s="1"/>
  <c r="G146"/>
  <c r="F146" s="1"/>
  <c r="V146" s="1"/>
  <c r="F150"/>
  <c r="V150" s="1"/>
  <c r="F132"/>
  <c r="V132" s="1"/>
  <c r="F10"/>
  <c r="V10" s="1"/>
  <c r="F200"/>
  <c r="V200" s="1"/>
  <c r="T8"/>
  <c r="P8"/>
  <c r="O8"/>
  <c r="S8"/>
  <c r="G94"/>
  <c r="F94" s="1"/>
  <c r="V94" s="1"/>
  <c r="R8" l="1"/>
  <c r="F40"/>
  <c r="V40" s="1"/>
  <c r="F9"/>
  <c r="V9" s="1"/>
  <c r="H8"/>
  <c r="G8"/>
  <c r="F8" l="1"/>
  <c r="V8" l="1"/>
</calcChain>
</file>

<file path=xl/sharedStrings.xml><?xml version="1.0" encoding="utf-8"?>
<sst xmlns="http://schemas.openxmlformats.org/spreadsheetml/2006/main" count="691" uniqueCount="375">
  <si>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</si>
  <si>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</si>
  <si>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</si>
  <si>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</si>
  <si>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</si>
  <si>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</si>
  <si>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</si>
  <si>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</si>
  <si>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</si>
  <si>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</si>
  <si>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</si>
  <si>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</si>
  <si>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</si>
  <si>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</si>
  <si>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</si>
  <si>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</si>
  <si>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</si>
  <si>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</si>
  <si>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</si>
  <si>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</si>
  <si>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</si>
  <si>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</si>
  <si>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</si>
  <si>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</si>
  <si>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</si>
  <si>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</si>
  <si>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</si>
  <si>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</si>
  <si>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</si>
  <si>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</si>
  <si>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</si>
  <si>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</si>
  <si>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</si>
  <si>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</si>
  <si>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</si>
  <si>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</si>
  <si>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</si>
  <si>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</si>
  <si>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</si>
  <si>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</si>
  <si>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</si>
  <si>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</si>
  <si>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</si>
  <si>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</si>
  <si>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</si>
  <si>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</si>
  <si>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</si>
  <si>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</si>
  <si>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</si>
  <si>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</si>
  <si>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</si>
  <si>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</si>
  <si>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</si>
  <si>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</si>
  <si>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</si>
  <si>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</si>
  <si>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</si>
  <si>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</si>
  <si>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</si>
  <si>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</si>
  <si>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</si>
  <si>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</si>
  <si>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</si>
  <si>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</si>
  <si>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</si>
  <si>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</si>
  <si>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</si>
  <si>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</si>
  <si>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</si>
  <si>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</si>
  <si>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</si>
  <si>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</si>
  <si>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</si>
  <si>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</si>
  <si>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</si>
  <si>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</si>
  <si>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</si>
  <si>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</si>
  <si>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</si>
  <si>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</si>
  <si>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</si>
  <si>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</si>
  <si>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4.5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</si>
  <si>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</si>
  <si>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</si>
  <si>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</si>
  <si>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</si>
  <si>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</si>
  <si>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</si>
  <si>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</si>
  <si>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</si>
  <si>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</si>
  <si>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</si>
  <si>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</si>
  <si>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</si>
  <si>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</si>
  <si>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</si>
  <si>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</si>
  <si>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</si>
  <si>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</si>
  <si>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</si>
  <si>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</si>
  <si>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</si>
  <si>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</si>
  <si>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</si>
  <si>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</si>
  <si>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</si>
  <si>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</si>
  <si>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</si>
  <si>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</si>
  <si>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</si>
  <si>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</si>
  <si>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</si>
  <si>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</si>
  <si>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</si>
  <si>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</si>
  <si>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</si>
  <si>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</si>
  <si>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</si>
  <si>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</si>
  <si>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</si>
  <si>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</si>
  <si>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</si>
  <si>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</si>
  <si>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</si>
  <si>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Региональный проект "Акселерация субъектов малого и среднего предпринимательства", всего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</si>
  <si>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</si>
  <si>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</si>
  <si>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</si>
  <si>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</si>
  <si>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</si>
  <si>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</si>
  <si>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</si>
  <si>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</si>
  <si>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</si>
  <si>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</si>
  <si>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</si>
  <si>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 xml:space="preserve">Создание новых мест в общеобразовательных организациях </t>
  </si>
  <si>
    <t>03WI455272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</si>
  <si>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</si>
  <si>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</si>
  <si>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</si>
  <si>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</si>
  <si>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</si>
  <si>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</si>
  <si>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</si>
  <si>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</si>
  <si>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</si>
  <si>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</si>
  <si>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</si>
  <si>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</si>
  <si>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</si>
  <si>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</si>
  <si>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</si>
  <si>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</si>
  <si>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</si>
  <si>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</si>
  <si>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</si>
  <si>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</si>
  <si>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</si>
  <si>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</si>
  <si>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</si>
  <si>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</si>
  <si>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</si>
  <si>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</si>
  <si>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</si>
  <si>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</si>
  <si>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</si>
  <si>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</si>
  <si>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</si>
  <si>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</si>
  <si>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</si>
  <si>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</si>
  <si>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</si>
  <si>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</si>
  <si>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</si>
  <si>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</si>
  <si>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</si>
  <si>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</si>
  <si>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</si>
  <si>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</si>
  <si>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</si>
  <si>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</si>
  <si>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</si>
  <si>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</si>
  <si>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</si>
  <si>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</si>
  <si>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</si>
  <si>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</si>
  <si>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</si>
  <si>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</si>
  <si>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</si>
  <si>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</si>
  <si>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</si>
  <si>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</si>
  <si>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</si>
  <si>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</si>
  <si>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</si>
  <si>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</si>
  <si>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</si>
  <si>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</si>
  <si>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</si>
  <si>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</si>
  <si>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</si>
  <si>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</si>
  <si>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</si>
  <si>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</si>
  <si>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</si>
  <si>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</si>
  <si>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</si>
  <si>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</si>
  <si>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</si>
  <si>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</si>
  <si>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</si>
  <si>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</si>
  <si>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</si>
  <si>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</si>
  <si>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</si>
  <si>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</si>
  <si>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</si>
  <si>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</si>
  <si>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</si>
  <si>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</si>
  <si>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</si>
  <si>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</si>
  <si>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</si>
  <si>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</si>
  <si>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</si>
  <si>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</si>
  <si>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</si>
  <si>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</si>
  <si>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</si>
  <si>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</si>
  <si>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</si>
  <si>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</si>
  <si>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Региональный проект "Общесистемные меры развития дорожного хозяйства", всего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</si>
  <si>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</si>
  <si>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</si>
  <si>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</si>
  <si>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</si>
  <si>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</si>
  <si>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</si>
  <si>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</si>
  <si>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</si>
  <si>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</si>
  <si>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</si>
  <si>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</si>
  <si>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</si>
  <si>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</si>
  <si>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</si>
  <si>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</si>
  <si>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11WP35121И</t>
  </si>
  <si>
    <t>06WT252590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</si>
  <si>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</si>
  <si>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</si>
  <si>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>07WN352271</t>
  </si>
  <si>
    <t>11WP351211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</si>
  <si>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</si>
  <si>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09WP241070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</si>
  <si>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</si>
  <si>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</si>
  <si>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</si>
  <si>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</si>
  <si>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</si>
  <si>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</si>
  <si>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</si>
  <si>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Региональный проект "Создание благоприятных условий для осуществления деятельности самозанятыми гражданами", всего</t>
  </si>
  <si>
    <t>Поддержка малого и среднего предпринимательства по созданию благоприятных условий для осуществления деятельности самозанятыми гражданами</t>
  </si>
  <si>
    <t>Реализация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</si>
  <si>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03WI455273</t>
  </si>
  <si>
    <t>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</si>
  <si>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03WI555277</t>
  </si>
  <si>
    <t>Докапитализация Гарантийного фонда Томской области</t>
  </si>
  <si>
    <t>03WI555278</t>
  </si>
  <si>
    <t>Создание промышленных парков для субъектов малого и среднего предпринимательства</t>
  </si>
  <si>
    <t>03WI555279</t>
  </si>
  <si>
    <t>05WP252910</t>
  </si>
  <si>
    <t>Гранты "Агростартап" на реализацию проектов создания и развития крестьянских (фермерских) хозяйст</t>
  </si>
  <si>
    <t>06WI554801</t>
  </si>
  <si>
    <t>06WI554802</t>
  </si>
  <si>
    <t>06WI554803</t>
  </si>
  <si>
    <t>06WI554804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</si>
  <si>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</si>
  <si>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</si>
  <si>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Реализация мероприятий по формированию и обеспечению функционирования единой федеральной системы научно-методологического сопровождения педагогических работников и управленческих кадров</t>
  </si>
  <si>
    <t>09WE154810</t>
  </si>
  <si>
    <t>Капитальный ремонт объектов недвижимого имущества в сфере культуры</t>
  </si>
  <si>
    <t>10WA155191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</si>
  <si>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</si>
  <si>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</si>
  <si>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</si>
  <si>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</si>
  <si>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</si>
  <si>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</si>
  <si>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</si>
  <si>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Осуществление авторского надзора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</si>
  <si>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</si>
  <si>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</si>
  <si>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"Жилье", всего</t>
  </si>
  <si>
    <t>Региональный проект "Обеспечение устойчивого  сокращения непригодного для проживания жилищного фонда", всего</t>
  </si>
  <si>
    <t>Стимулирование программ развития жилищного строительства субъектов Российской Федерации</t>
  </si>
  <si>
    <t>13WF150210</t>
  </si>
  <si>
    <t>18WR253930</t>
  </si>
  <si>
    <t>5.4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</si>
  <si>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</si>
  <si>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</si>
  <si>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</si>
  <si>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</si>
  <si>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Оказание комплекса услуг, сервисов и мер поддержки субъектам малого и среднего предпринимательства в центре "Мой бизнес"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</si>
  <si>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</si>
  <si>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</si>
  <si>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</si>
  <si>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</si>
  <si>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</si>
  <si>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</si>
  <si>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</si>
  <si>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сети "Интернет"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</si>
  <si>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</si>
  <si>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</si>
  <si>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</si>
  <si>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</si>
  <si>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* по данным сводной бюджетной росписи областного бюджета на 2021-2023 годы по состоянию на отчетную дату; лимиты бюджетных обязательств соответствуют плановым назначениям</t>
  </si>
  <si>
    <t>Плановые ассигнования*, в том числе</t>
  </si>
  <si>
    <t>за счет средств местных бюджетов**</t>
  </si>
  <si>
    <t>% исполнения</t>
  </si>
  <si>
    <t>09WP252321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</si>
  <si>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</si>
  <si>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ул.Северная,3)</t>
  </si>
  <si>
    <t>09WE152300</t>
  </si>
  <si>
    <t>Создание новых мест в общеобразовательных организациях, расположенных в сельской местности и поселках городского типа</t>
  </si>
  <si>
    <t>09WE152301</t>
  </si>
  <si>
    <t>11WP35121П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</si>
  <si>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</si>
  <si>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13WF30И030</t>
  </si>
  <si>
    <t>Капитальные вложения в объекты государственной собственности в сфере жилищного строительства</t>
  </si>
  <si>
    <t>09WP241060</t>
  </si>
  <si>
    <t>Оснащение зданий средствами обучения и воспитания для размещения дошкольных образовательных организаций</t>
  </si>
  <si>
    <t>19WF54П130</t>
  </si>
  <si>
    <t>Подготовка проектной документации на объекты водоснабжения (в том числе проведение инженерных изысканий)</t>
  </si>
  <si>
    <t>Департамент по управлению государственной собственностью Томской области</t>
  </si>
  <si>
    <t>06WI554800</t>
  </si>
  <si>
    <t>09WE155201</t>
  </si>
  <si>
    <t>10WA1Д4540</t>
  </si>
  <si>
    <t>Создание модельных муниципальных библиотек</t>
  </si>
  <si>
    <t>Гранты в форме субсидий субъектам малого и среднего предпринимательства, включенным в реестр социальных предпринимателей</t>
  </si>
  <si>
    <t>Региональный проект "Создание условий для легкого старта и комфортного ведения бизнеса", всего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</si>
  <si>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</si>
  <si>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</si>
  <si>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</si>
  <si>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Петрова Е.В. (приобретение автотранспорта);
Черникова Н.С.(вакцинация);
Шабанова Е.В. (капитальный ремонт, бюджетные инвестиции)</t>
  </si>
  <si>
    <t>Зелендинова Е.В.;
Шабанова Е.В. (капитальный ремонт, бюджетные инвестиции)</t>
  </si>
  <si>
    <t>Щербакова И.В. (создание дошкольных мест у ИП, оснащение дошкольных образовательных организаций);
Шабанова Е.В. (капитальный ремонт, бюджетные инвестиции);  
Супрунова Е.А.</t>
  </si>
  <si>
    <t>Петрова Е.В.</t>
  </si>
  <si>
    <t>Черникова Н.С.</t>
  </si>
  <si>
    <t xml:space="preserve"> Черникова Н.С. (переоснащение мед.организаций);
Шабанова Е.В. (капитальный ремонт, бюджетные инвестиции)
</t>
  </si>
  <si>
    <t>Сургутская Г.И. (Создание (обновление) МТБ й в общеобразовательных организациях, расположенных в сельской местности и малых городах, для реализации  общеобразовательных программ цифрового и гуманитарного профилей и в организациях, осуществляющих образовательную деятельность исключительно по адаптированным основным общеобразовательным программам; 
Оснащение зданий для размещения общеобразовательных организаций);
Шабанова Е.В. (капитальный ремонт, бюджетные инвестиции)</t>
  </si>
  <si>
    <t>Сургутская Г.И. (Внедрение и функционирование целевой модели цифровой образовательной среды в общеобразовательных организациях;
Создание центров цифрового образования детей);
Шишкова Е.В. (Внедрение и функционирование целевой модели цифровой образовательной среды в профессиональных образовательных организациях)</t>
  </si>
  <si>
    <t>Сургутская Г.И. (Развитие региональной системы дополнительного образования детей, включая создание мобильных технопарков "Кванториум"); 
Шабанова Е.В. (капитальный ремонт, бюджетные инвестиции)</t>
  </si>
  <si>
    <t xml:space="preserve">Шишкова Е.В. </t>
  </si>
  <si>
    <t xml:space="preserve">Сургутская Г.И. </t>
  </si>
  <si>
    <t>Мордовин А.О.</t>
  </si>
  <si>
    <t>Дмитриева Т.Е.</t>
  </si>
  <si>
    <t>Сургутская Г.И. (ассигнования 2023)</t>
  </si>
  <si>
    <t>Шабанова Е.В.</t>
  </si>
  <si>
    <t>Гаврилюк В.А.</t>
  </si>
  <si>
    <t>Осокина Д.С.</t>
  </si>
  <si>
    <t>Суханова О.Л.</t>
  </si>
  <si>
    <t>Подъяблонская А.Ф.</t>
  </si>
  <si>
    <t>Щербакова И.В. (создание модельных библиотек, государственная поддержка отрасли культуры за исключением капитального ремонта и бюджетных инвестиций); 
Шабанова Е.В. (капитальный ремонт, бюджетные инвестиции)</t>
  </si>
  <si>
    <t>Щербакова И.В.</t>
  </si>
  <si>
    <t>Сысоева Л.В.</t>
  </si>
  <si>
    <t>Оснащение зданий для размещения дошкольных образовательных организаций оборудованием, средствами обучения и воспитания, предусмотренными проектной документацией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</si>
  <si>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</si>
  <si>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</si>
  <si>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r>
      <t xml:space="preserve">Мордовин А.О.; 
</t>
    </r>
    <r>
      <rPr>
        <sz val="11"/>
        <rFont val="PT Astra Serif"/>
        <family val="1"/>
        <charset val="204"/>
      </rPr>
      <t>Шишкова Е.В.(Функционирование учебной производственной площадки "Фабрика процессов")</t>
    </r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</si>
</sst>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4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 applyProtection="1">
      <alignment horizontal="left" vertical="center" wrapText="1"/>
    </xf>
    <xf numFmtId="49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NumberFormat="1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11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top" wrapText="1"/>
    </xf>
    <xf numFmtId="11" fontId="8" fillId="0" borderId="4" xfId="0" applyNumberFormat="1" applyFont="1" applyFill="1" applyBorder="1" applyAlignment="1">
      <alignment horizontal="center" vertical="top"/>
    </xf>
    <xf numFmtId="49" fontId="8" fillId="0" borderId="4" xfId="0" applyNumberFormat="1" applyFont="1" applyFill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left" vertical="center" wrapText="1"/>
    </xf>
    <xf numFmtId="0" fontId="2" fillId="2" borderId="0" xfId="0" applyFont="1" applyFill="1"/>
    <xf numFmtId="0" fontId="11" fillId="0" borderId="4" xfId="0" applyFont="1" applyFill="1" applyBorder="1" applyAlignment="1">
      <alignment horizontal="left" vertical="center"/>
    </xf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249"/>
  <sheetViews>
    <sheetView tabSelected="1" zoomScale="60" zoomScaleNormal="60" zoomScaleSheetLayoutView="75" workbookViewId="0">
      <pane xSplit="1" ySplit="7" topLeftCell="B203" activePane="bottomRight" state="frozen"/>
      <selection pane="topRight" activeCell="B1" sqref="B1"/>
      <selection pane="bottomLeft" activeCell="A8" sqref="A8"/>
      <selection pane="bottomRight" activeCell="Z5" sqref="Z5"/>
    </sheetView>
  </sheetViews>
  <sheetFormatPr defaultColWidth="8.85546875" defaultRowHeight="15"/>
  <cols>
    <col min="1" max="1" width="6.42578125" style="5" customWidth="1"/>
    <col min="2" max="2" width="56.42578125" style="6" customWidth="1"/>
    <col min="3" max="3" width="7.7109375" style="5" customWidth="1"/>
    <col min="4" max="4" width="38.7109375" style="5" customWidth="1"/>
    <col min="5" max="5" width="18.140625" style="5" customWidth="1"/>
    <col min="6" max="6" width="17.5703125" style="5" customWidth="1"/>
    <col min="7" max="8" width="15.85546875" style="9" customWidth="1"/>
    <col min="9" max="9" width="14.85546875" style="9" customWidth="1"/>
    <col min="10" max="10" width="15.5703125" style="9" customWidth="1"/>
    <col min="11" max="12" width="15.85546875" style="9" customWidth="1"/>
    <col min="13" max="13" width="13" style="9" customWidth="1"/>
    <col min="14" max="14" width="16.85546875" style="5" customWidth="1"/>
    <col min="15" max="15" width="15.85546875" style="9" customWidth="1"/>
    <col min="16" max="16" width="16.85546875" style="9" customWidth="1"/>
    <col min="17" max="17" width="14.140625" style="9" customWidth="1"/>
    <col min="18" max="18" width="16.7109375" style="5" customWidth="1"/>
    <col min="19" max="19" width="16.42578125" style="9" customWidth="1"/>
    <col min="20" max="20" width="16.5703125" style="9" customWidth="1"/>
    <col min="21" max="21" width="13.42578125" style="9" customWidth="1"/>
    <col min="22" max="22" width="10.28515625" style="5" customWidth="1"/>
    <col min="23" max="23" width="50" style="4" hidden="1" customWidth="1"/>
    <col min="24" max="24" width="0" style="4" hidden="1" customWidth="1"/>
    <col min="25" max="25" width="8.85546875" style="4"/>
    <col min="26" max="26" width="19" style="4" customWidth="1"/>
    <col min="27" max="27" width="18.7109375" style="4" customWidth="1"/>
    <col min="28" max="29" width="18.28515625" style="4" bestFit="1" customWidth="1"/>
    <col min="30" max="103" width="8.85546875" style="4"/>
    <col min="104" max="16384" width="8.85546875" style="5"/>
  </cols>
  <sheetData>
    <row r="1" spans="1:29" ht="15" customHeight="1">
      <c r="A1" s="97" t="s">
        <v>346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</row>
    <row r="2" spans="1:29" ht="37.5" customHeight="1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</row>
    <row r="3" spans="1:29">
      <c r="E3" s="7"/>
      <c r="G3" s="8"/>
      <c r="T3" s="1"/>
      <c r="U3" s="1" t="s">
        <v>264</v>
      </c>
    </row>
    <row r="4" spans="1:29" ht="16.5" customHeight="1">
      <c r="A4" s="98" t="s">
        <v>0</v>
      </c>
      <c r="B4" s="101" t="s">
        <v>1</v>
      </c>
      <c r="C4" s="98" t="s">
        <v>2</v>
      </c>
      <c r="D4" s="98" t="s">
        <v>3</v>
      </c>
      <c r="E4" s="98" t="s">
        <v>4</v>
      </c>
      <c r="F4" s="109" t="s">
        <v>261</v>
      </c>
      <c r="G4" s="110"/>
      <c r="H4" s="110"/>
      <c r="I4" s="111"/>
      <c r="J4" s="109" t="s">
        <v>261</v>
      </c>
      <c r="K4" s="110"/>
      <c r="L4" s="110"/>
      <c r="M4" s="111"/>
      <c r="N4" s="109" t="s">
        <v>262</v>
      </c>
      <c r="O4" s="110"/>
      <c r="P4" s="110"/>
      <c r="Q4" s="111"/>
      <c r="R4" s="112" t="s">
        <v>263</v>
      </c>
      <c r="S4" s="112"/>
      <c r="T4" s="112"/>
      <c r="U4" s="112"/>
      <c r="V4" s="91" t="s">
        <v>324</v>
      </c>
      <c r="W4" s="94" t="s">
        <v>347</v>
      </c>
      <c r="X4" s="94" t="s">
        <v>348</v>
      </c>
    </row>
    <row r="5" spans="1:29" ht="16.5" customHeight="1">
      <c r="A5" s="99"/>
      <c r="B5" s="102"/>
      <c r="C5" s="99"/>
      <c r="D5" s="99"/>
      <c r="E5" s="104"/>
      <c r="F5" s="106" t="s">
        <v>322</v>
      </c>
      <c r="G5" s="107"/>
      <c r="H5" s="107"/>
      <c r="I5" s="108"/>
      <c r="J5" s="106" t="s">
        <v>5</v>
      </c>
      <c r="K5" s="107"/>
      <c r="L5" s="107"/>
      <c r="M5" s="108"/>
      <c r="N5" s="106" t="s">
        <v>322</v>
      </c>
      <c r="O5" s="107"/>
      <c r="P5" s="107"/>
      <c r="Q5" s="108"/>
      <c r="R5" s="90" t="s">
        <v>322</v>
      </c>
      <c r="S5" s="90"/>
      <c r="T5" s="90"/>
      <c r="U5" s="90"/>
      <c r="V5" s="92"/>
      <c r="W5" s="95"/>
      <c r="X5" s="95"/>
    </row>
    <row r="6" spans="1:29" ht="82.5">
      <c r="A6" s="100"/>
      <c r="B6" s="103"/>
      <c r="C6" s="100"/>
      <c r="D6" s="100"/>
      <c r="E6" s="105"/>
      <c r="F6" s="10" t="s">
        <v>6</v>
      </c>
      <c r="G6" s="11" t="s">
        <v>7</v>
      </c>
      <c r="H6" s="11" t="s">
        <v>8</v>
      </c>
      <c r="I6" s="11" t="s">
        <v>323</v>
      </c>
      <c r="J6" s="10" t="s">
        <v>6</v>
      </c>
      <c r="K6" s="11" t="s">
        <v>7</v>
      </c>
      <c r="L6" s="11" t="s">
        <v>8</v>
      </c>
      <c r="M6" s="11" t="s">
        <v>323</v>
      </c>
      <c r="N6" s="10" t="s">
        <v>6</v>
      </c>
      <c r="O6" s="11" t="s">
        <v>7</v>
      </c>
      <c r="P6" s="11" t="s">
        <v>8</v>
      </c>
      <c r="Q6" s="11" t="s">
        <v>320</v>
      </c>
      <c r="R6" s="10" t="s">
        <v>6</v>
      </c>
      <c r="S6" s="11" t="s">
        <v>7</v>
      </c>
      <c r="T6" s="11" t="s">
        <v>8</v>
      </c>
      <c r="U6" s="11" t="s">
        <v>320</v>
      </c>
      <c r="V6" s="93"/>
      <c r="W6" s="96"/>
      <c r="X6" s="96"/>
    </row>
    <row r="7" spans="1:29" ht="16.5">
      <c r="A7" s="12" t="s">
        <v>9</v>
      </c>
      <c r="B7" s="13">
        <v>2</v>
      </c>
      <c r="C7" s="14">
        <v>3</v>
      </c>
      <c r="D7" s="14">
        <v>4</v>
      </c>
      <c r="E7" s="14">
        <v>5</v>
      </c>
      <c r="F7" s="10">
        <v>6</v>
      </c>
      <c r="G7" s="11">
        <v>7</v>
      </c>
      <c r="H7" s="11">
        <v>8</v>
      </c>
      <c r="I7" s="11">
        <v>9</v>
      </c>
      <c r="J7" s="10">
        <v>10</v>
      </c>
      <c r="K7" s="11">
        <v>11</v>
      </c>
      <c r="L7" s="11">
        <v>12</v>
      </c>
      <c r="M7" s="11">
        <v>13</v>
      </c>
      <c r="N7" s="10">
        <v>14</v>
      </c>
      <c r="O7" s="11">
        <v>15</v>
      </c>
      <c r="P7" s="11">
        <v>16</v>
      </c>
      <c r="Q7" s="11">
        <v>17</v>
      </c>
      <c r="R7" s="10">
        <v>18</v>
      </c>
      <c r="S7" s="11">
        <v>19</v>
      </c>
      <c r="T7" s="11">
        <v>20</v>
      </c>
      <c r="U7" s="11">
        <v>21</v>
      </c>
      <c r="V7" s="11">
        <v>22</v>
      </c>
      <c r="W7" s="3">
        <v>23</v>
      </c>
      <c r="X7" s="3">
        <v>24</v>
      </c>
    </row>
    <row r="8" spans="1:29" ht="19.5">
      <c r="A8" s="15"/>
      <c r="B8" s="16" t="s">
        <v>10</v>
      </c>
      <c r="C8" s="14"/>
      <c r="D8" s="14"/>
      <c r="E8" s="14"/>
      <c r="F8" s="17">
        <f>G8+H8+I8</f>
        <v>18538158.5</v>
      </c>
      <c r="G8" s="17">
        <f>G9+G40+G58+G94+G115+G132+G146+G160+G178+G199+G204</f>
        <v>8159290.5999999996</v>
      </c>
      <c r="H8" s="17">
        <f>H9+H40+H58+H94+H115+H132+H146+H160+H178+H199+H204</f>
        <v>9495718.6999999993</v>
      </c>
      <c r="I8" s="17">
        <f>I9+I40+I58+I94+I115+I132+I146+I160+I178+I199+I204</f>
        <v>883149.2</v>
      </c>
      <c r="J8" s="17">
        <f>K8+L8+M8</f>
        <v>4634557</v>
      </c>
      <c r="K8" s="17">
        <f>K9+K40+K58+K94+K115+K132+K146+K160+K178+K199+K204</f>
        <v>2283605.4</v>
      </c>
      <c r="L8" s="17">
        <f>L9+L40+L58+L94+L115+L132+L146+L160+L178+L199+L204</f>
        <v>2111794.7999999998</v>
      </c>
      <c r="M8" s="17">
        <f>M9+M40+M58+M94+M115+M132+M146+M160+M178+M199+M204</f>
        <v>239156.8</v>
      </c>
      <c r="N8" s="17">
        <f>O8+P8+Q8</f>
        <v>10812983</v>
      </c>
      <c r="O8" s="17">
        <f>O9+O40+O58+O94+O115+O132+O146+O160+O178+O199+O204</f>
        <v>6124609.2000000002</v>
      </c>
      <c r="P8" s="17">
        <f>P9+P40+P58+P94+P115+P132+P146+P160+P178+P199+P204</f>
        <v>4548171.9000000004</v>
      </c>
      <c r="Q8" s="17">
        <f>Q9+Q40+Q58+Q94+Q115+Q132+Q146+Q160+Q178+Q199+Q204</f>
        <v>140201.9</v>
      </c>
      <c r="R8" s="17">
        <f>S8+T8+U8</f>
        <v>11744635.699999999</v>
      </c>
      <c r="S8" s="17">
        <f>S9+S40+S58+S94+S115+S132+S146+S160+S178+S199+S204</f>
        <v>6279953.7000000002</v>
      </c>
      <c r="T8" s="17">
        <f>T9+T40+T58+T94+T115+T132+T146+T160+T178+T199+T204</f>
        <v>5340504.5999999996</v>
      </c>
      <c r="U8" s="17">
        <f>U9+U40+U58+U94+U115+U132+U146+U160+U178+U199+U204</f>
        <v>124177.4</v>
      </c>
      <c r="V8" s="18">
        <f>J8/F8</f>
        <v>0.25</v>
      </c>
      <c r="W8" s="2"/>
      <c r="X8" s="2"/>
      <c r="Z8" s="19"/>
    </row>
    <row r="9" spans="1:29" ht="18.75">
      <c r="A9" s="20">
        <v>1</v>
      </c>
      <c r="B9" s="21" t="s">
        <v>11</v>
      </c>
      <c r="C9" s="22" t="s">
        <v>12</v>
      </c>
      <c r="D9" s="22" t="s">
        <v>12</v>
      </c>
      <c r="E9" s="22" t="s">
        <v>12</v>
      </c>
      <c r="F9" s="23">
        <f t="shared" ref="F9:F44" si="0">G9+H9+I9</f>
        <v>4421662</v>
      </c>
      <c r="G9" s="23">
        <f>G10+G17+G27+G35</f>
        <v>1985020.4</v>
      </c>
      <c r="H9" s="23">
        <f>H10+H17+H27+H35</f>
        <v>2379445.7999999998</v>
      </c>
      <c r="I9" s="23">
        <f>I10+I17+I27+I35</f>
        <v>57195.8</v>
      </c>
      <c r="J9" s="23">
        <f t="shared" ref="J9:J10" si="1">K9+L9+M9</f>
        <v>1785907.5</v>
      </c>
      <c r="K9" s="23">
        <f>K10+K17+K27+K35</f>
        <v>673186.8</v>
      </c>
      <c r="L9" s="23">
        <f>L10+L17+L27+L35</f>
        <v>1067947.3999999999</v>
      </c>
      <c r="M9" s="23">
        <f>M10+M17+M27+M35</f>
        <v>44773.3</v>
      </c>
      <c r="N9" s="23">
        <f t="shared" ref="N9:N10" si="2">O9+P9+Q9</f>
        <v>2264211</v>
      </c>
      <c r="O9" s="23">
        <f>O10+O17+O27+O35</f>
        <v>392812.9</v>
      </c>
      <c r="P9" s="23">
        <f>P10+P17+P27+P35</f>
        <v>1859038.1</v>
      </c>
      <c r="Q9" s="23">
        <f>Q10+Q17+Q27+Q35</f>
        <v>12360</v>
      </c>
      <c r="R9" s="23">
        <f t="shared" ref="R9:R10" si="3">S9+T9+U9</f>
        <v>1989744.3</v>
      </c>
      <c r="S9" s="23">
        <f>S10+S17+S27+S35</f>
        <v>198546.6</v>
      </c>
      <c r="T9" s="23">
        <f>T10+T17+T27+T35</f>
        <v>1779373.1</v>
      </c>
      <c r="U9" s="23">
        <f>U10+U17+U27+U35</f>
        <v>11824.6</v>
      </c>
      <c r="V9" s="24">
        <f t="shared" ref="V9:V44" si="4">J9/F9</f>
        <v>0.40400000000000003</v>
      </c>
      <c r="W9" s="2"/>
      <c r="X9" s="2"/>
      <c r="Z9" s="19"/>
      <c r="AB9" s="19"/>
    </row>
    <row r="10" spans="1:29" ht="39.75" customHeight="1">
      <c r="A10" s="25" t="s">
        <v>13</v>
      </c>
      <c r="B10" s="26" t="s">
        <v>14</v>
      </c>
      <c r="C10" s="27" t="s">
        <v>12</v>
      </c>
      <c r="D10" s="27" t="s">
        <v>12</v>
      </c>
      <c r="E10" s="27" t="s">
        <v>12</v>
      </c>
      <c r="F10" s="28">
        <f t="shared" si="0"/>
        <v>95978.3</v>
      </c>
      <c r="G10" s="29">
        <f>SUM(G12:G16)</f>
        <v>44254.1</v>
      </c>
      <c r="H10" s="29">
        <f>SUM(H12:H16)</f>
        <v>51724.2</v>
      </c>
      <c r="I10" s="29">
        <f>SUM(I12:I16)</f>
        <v>0</v>
      </c>
      <c r="J10" s="28">
        <f t="shared" si="1"/>
        <v>2308.9</v>
      </c>
      <c r="K10" s="29">
        <f>SUM(K12:K16)</f>
        <v>60.6</v>
      </c>
      <c r="L10" s="29">
        <f>SUM(L12:L16)</f>
        <v>2248.3000000000002</v>
      </c>
      <c r="M10" s="29">
        <f>SUM(M12:M16)</f>
        <v>0</v>
      </c>
      <c r="N10" s="28">
        <f t="shared" si="2"/>
        <v>289.7</v>
      </c>
      <c r="O10" s="29">
        <f>SUM(O12:O16)</f>
        <v>0</v>
      </c>
      <c r="P10" s="29">
        <f>SUM(P12:P16)</f>
        <v>289.7</v>
      </c>
      <c r="Q10" s="29">
        <f>SUM(Q12:Q16)</f>
        <v>0</v>
      </c>
      <c r="R10" s="28">
        <f t="shared" si="3"/>
        <v>289.7</v>
      </c>
      <c r="S10" s="29">
        <f>SUM(S12:S16)</f>
        <v>0</v>
      </c>
      <c r="T10" s="29">
        <f>SUM(T12:T16)</f>
        <v>289.7</v>
      </c>
      <c r="U10" s="29">
        <f>SUM(U12:U16)</f>
        <v>0</v>
      </c>
      <c r="V10" s="30">
        <f t="shared" si="4"/>
        <v>2.4E-2</v>
      </c>
      <c r="W10" s="31" t="s">
        <v>349</v>
      </c>
      <c r="X10" s="2"/>
      <c r="Z10" s="19"/>
      <c r="AA10" s="19"/>
      <c r="AB10" s="19"/>
      <c r="AC10" s="19"/>
    </row>
    <row r="11" spans="1:29" ht="18.75">
      <c r="A11" s="25"/>
      <c r="B11" s="32" t="s">
        <v>15</v>
      </c>
      <c r="C11" s="33"/>
      <c r="D11" s="33"/>
      <c r="E11" s="33"/>
      <c r="F11" s="28"/>
      <c r="G11" s="34"/>
      <c r="H11" s="34"/>
      <c r="I11" s="34"/>
      <c r="J11" s="28"/>
      <c r="K11" s="34"/>
      <c r="L11" s="34"/>
      <c r="M11" s="34"/>
      <c r="N11" s="28"/>
      <c r="O11" s="34"/>
      <c r="P11" s="34"/>
      <c r="Q11" s="34"/>
      <c r="R11" s="28"/>
      <c r="S11" s="34"/>
      <c r="T11" s="34"/>
      <c r="U11" s="34"/>
      <c r="V11" s="35"/>
      <c r="W11" s="2"/>
      <c r="X11" s="2"/>
      <c r="Z11" s="19"/>
      <c r="AB11" s="19"/>
    </row>
    <row r="12" spans="1:29" ht="75.75" customHeight="1">
      <c r="A12" s="25"/>
      <c r="B12" s="36" t="s">
        <v>18</v>
      </c>
      <c r="C12" s="37">
        <v>811</v>
      </c>
      <c r="D12" s="38" t="s">
        <v>17</v>
      </c>
      <c r="E12" s="37" t="s">
        <v>241</v>
      </c>
      <c r="F12" s="28">
        <f t="shared" si="0"/>
        <v>289.60000000000002</v>
      </c>
      <c r="G12" s="34"/>
      <c r="H12" s="34">
        <v>289.60000000000002</v>
      </c>
      <c r="I12" s="34"/>
      <c r="J12" s="28">
        <f t="shared" ref="J12:J17" si="5">K12+L12+M12</f>
        <v>288.2</v>
      </c>
      <c r="K12" s="34"/>
      <c r="L12" s="34">
        <v>288.2</v>
      </c>
      <c r="M12" s="34"/>
      <c r="N12" s="28">
        <f>O12+P12+Q12</f>
        <v>289.7</v>
      </c>
      <c r="O12" s="34"/>
      <c r="P12" s="34">
        <v>289.7</v>
      </c>
      <c r="Q12" s="34"/>
      <c r="R12" s="28">
        <f>S12+T12+U12</f>
        <v>289.7</v>
      </c>
      <c r="S12" s="34"/>
      <c r="T12" s="34">
        <v>289.7</v>
      </c>
      <c r="U12" s="34"/>
      <c r="V12" s="35">
        <f t="shared" si="4"/>
        <v>0.995</v>
      </c>
      <c r="W12" s="2"/>
      <c r="X12" s="2"/>
      <c r="Z12" s="19"/>
      <c r="AB12" s="19"/>
    </row>
    <row r="13" spans="1:29" ht="38.25" customHeight="1">
      <c r="A13" s="25"/>
      <c r="B13" s="36" t="s">
        <v>295</v>
      </c>
      <c r="C13" s="37">
        <v>821</v>
      </c>
      <c r="D13" s="38" t="s">
        <v>19</v>
      </c>
      <c r="E13" s="37" t="s">
        <v>256</v>
      </c>
      <c r="F13" s="28">
        <f t="shared" si="0"/>
        <v>8.3000000000000007</v>
      </c>
      <c r="G13" s="34">
        <v>8.3000000000000007</v>
      </c>
      <c r="H13" s="34"/>
      <c r="I13" s="34"/>
      <c r="J13" s="28">
        <f t="shared" si="5"/>
        <v>0</v>
      </c>
      <c r="K13" s="34"/>
      <c r="L13" s="34"/>
      <c r="M13" s="34"/>
      <c r="N13" s="28">
        <f t="shared" ref="N13:N17" si="6">O13+P13+Q13</f>
        <v>0</v>
      </c>
      <c r="O13" s="34"/>
      <c r="P13" s="34"/>
      <c r="Q13" s="34"/>
      <c r="R13" s="28">
        <f t="shared" ref="R13:R17" si="7">S13+T13+U13</f>
        <v>0</v>
      </c>
      <c r="S13" s="34"/>
      <c r="T13" s="34"/>
      <c r="U13" s="34"/>
      <c r="V13" s="35">
        <f t="shared" si="4"/>
        <v>0</v>
      </c>
      <c r="W13" s="2"/>
      <c r="X13" s="2"/>
      <c r="Z13" s="19"/>
      <c r="AA13" s="19"/>
    </row>
    <row r="14" spans="1:29" ht="57" customHeight="1">
      <c r="A14" s="25"/>
      <c r="B14" s="36" t="s">
        <v>296</v>
      </c>
      <c r="C14" s="37">
        <v>821</v>
      </c>
      <c r="D14" s="38" t="s">
        <v>19</v>
      </c>
      <c r="E14" s="37" t="s">
        <v>251</v>
      </c>
      <c r="F14" s="28">
        <f t="shared" si="0"/>
        <v>37400</v>
      </c>
      <c r="G14" s="34">
        <v>37400</v>
      </c>
      <c r="H14" s="34"/>
      <c r="I14" s="17"/>
      <c r="J14" s="28">
        <f t="shared" si="5"/>
        <v>0</v>
      </c>
      <c r="K14" s="34"/>
      <c r="L14" s="34"/>
      <c r="M14" s="34"/>
      <c r="N14" s="28">
        <f t="shared" si="6"/>
        <v>0</v>
      </c>
      <c r="O14" s="34"/>
      <c r="P14" s="34"/>
      <c r="Q14" s="34"/>
      <c r="R14" s="28">
        <f t="shared" si="7"/>
        <v>0</v>
      </c>
      <c r="S14" s="34"/>
      <c r="T14" s="34"/>
      <c r="U14" s="34"/>
      <c r="V14" s="35">
        <f t="shared" si="4"/>
        <v>0</v>
      </c>
      <c r="W14" s="2"/>
      <c r="X14" s="2"/>
      <c r="Z14" s="19"/>
    </row>
    <row r="15" spans="1:29" ht="76.5" customHeight="1">
      <c r="A15" s="25"/>
      <c r="B15" s="36" t="s">
        <v>332</v>
      </c>
      <c r="C15" s="37">
        <v>821</v>
      </c>
      <c r="D15" s="38" t="s">
        <v>19</v>
      </c>
      <c r="E15" s="37" t="s">
        <v>331</v>
      </c>
      <c r="F15" s="28">
        <f t="shared" ref="F15" si="8">G15+H15+I15</f>
        <v>5255</v>
      </c>
      <c r="G15" s="34">
        <v>5255</v>
      </c>
      <c r="H15" s="34"/>
      <c r="I15" s="34"/>
      <c r="J15" s="28">
        <f t="shared" ref="J15" si="9">K15+L15+M15</f>
        <v>0</v>
      </c>
      <c r="K15" s="34"/>
      <c r="L15" s="34"/>
      <c r="M15" s="34"/>
      <c r="N15" s="28">
        <f t="shared" ref="N15" si="10">O15+P15+Q15</f>
        <v>0</v>
      </c>
      <c r="O15" s="34"/>
      <c r="P15" s="34"/>
      <c r="Q15" s="34"/>
      <c r="R15" s="28">
        <f t="shared" ref="R15" si="11">S15+T15+U15</f>
        <v>0</v>
      </c>
      <c r="S15" s="34"/>
      <c r="T15" s="34"/>
      <c r="U15" s="34"/>
      <c r="V15" s="35">
        <f t="shared" ref="V15" si="12">J15/F15</f>
        <v>0</v>
      </c>
      <c r="W15" s="2"/>
      <c r="X15" s="2"/>
      <c r="Z15" s="19"/>
    </row>
    <row r="16" spans="1:29" ht="156.75" customHeight="1">
      <c r="A16" s="25"/>
      <c r="B16" s="39" t="s">
        <v>327</v>
      </c>
      <c r="C16" s="37">
        <v>821</v>
      </c>
      <c r="D16" s="38" t="s">
        <v>19</v>
      </c>
      <c r="E16" s="37" t="s">
        <v>192</v>
      </c>
      <c r="F16" s="28">
        <f t="shared" si="0"/>
        <v>53025.4</v>
      </c>
      <c r="G16" s="34">
        <v>1590.8</v>
      </c>
      <c r="H16" s="34">
        <v>51434.6</v>
      </c>
      <c r="I16" s="34"/>
      <c r="J16" s="28">
        <f t="shared" si="5"/>
        <v>2020.7</v>
      </c>
      <c r="K16" s="34">
        <v>60.6</v>
      </c>
      <c r="L16" s="34">
        <v>1960.1</v>
      </c>
      <c r="M16" s="34"/>
      <c r="N16" s="28">
        <f t="shared" si="6"/>
        <v>0</v>
      </c>
      <c r="O16" s="34"/>
      <c r="P16" s="34"/>
      <c r="Q16" s="34"/>
      <c r="R16" s="28">
        <f t="shared" si="7"/>
        <v>0</v>
      </c>
      <c r="S16" s="34"/>
      <c r="T16" s="34"/>
      <c r="U16" s="34"/>
      <c r="V16" s="35">
        <f t="shared" si="4"/>
        <v>3.7999999999999999E-2</v>
      </c>
      <c r="W16" s="2"/>
      <c r="X16" s="2"/>
      <c r="Z16" s="19"/>
    </row>
    <row r="17" spans="1:24" ht="45">
      <c r="A17" s="12" t="s">
        <v>21</v>
      </c>
      <c r="B17" s="26" t="s">
        <v>22</v>
      </c>
      <c r="C17" s="40" t="s">
        <v>12</v>
      </c>
      <c r="D17" s="40" t="s">
        <v>12</v>
      </c>
      <c r="E17" s="40" t="s">
        <v>12</v>
      </c>
      <c r="F17" s="29">
        <f t="shared" si="0"/>
        <v>449756.8</v>
      </c>
      <c r="G17" s="29">
        <f t="shared" ref="G17:H17" si="13">SUM(G19:G26)</f>
        <v>174782</v>
      </c>
      <c r="H17" s="29">
        <f t="shared" si="13"/>
        <v>249138.5</v>
      </c>
      <c r="I17" s="29">
        <f t="shared" ref="I17" si="14">SUM(I19:I26)</f>
        <v>25836.3</v>
      </c>
      <c r="J17" s="29">
        <f t="shared" si="5"/>
        <v>156876.20000000001</v>
      </c>
      <c r="K17" s="29">
        <f t="shared" ref="K17:M17" si="15">SUM(K19:K26)</f>
        <v>131958</v>
      </c>
      <c r="L17" s="29">
        <f t="shared" si="15"/>
        <v>8902.7000000000007</v>
      </c>
      <c r="M17" s="29">
        <f t="shared" si="15"/>
        <v>16015.5</v>
      </c>
      <c r="N17" s="28">
        <f t="shared" si="6"/>
        <v>211214.7</v>
      </c>
      <c r="O17" s="29">
        <f t="shared" ref="O17:T17" si="16">SUM(O19:O26)</f>
        <v>96642.8</v>
      </c>
      <c r="P17" s="29">
        <f t="shared" si="16"/>
        <v>102211.9</v>
      </c>
      <c r="Q17" s="29">
        <f t="shared" si="16"/>
        <v>12360</v>
      </c>
      <c r="R17" s="28">
        <f t="shared" si="7"/>
        <v>135565.1</v>
      </c>
      <c r="S17" s="29">
        <f t="shared" si="16"/>
        <v>94389.3</v>
      </c>
      <c r="T17" s="29">
        <f t="shared" si="16"/>
        <v>29351.200000000001</v>
      </c>
      <c r="U17" s="29">
        <f t="shared" ref="U17" si="17">SUM(U19:U26)</f>
        <v>11824.6</v>
      </c>
      <c r="V17" s="41">
        <f t="shared" si="4"/>
        <v>0.34899999999999998</v>
      </c>
      <c r="W17" s="31" t="s">
        <v>350</v>
      </c>
      <c r="X17" s="2"/>
    </row>
    <row r="18" spans="1:24" ht="18.75">
      <c r="A18" s="42"/>
      <c r="B18" s="43" t="s">
        <v>15</v>
      </c>
      <c r="C18" s="33"/>
      <c r="D18" s="33"/>
      <c r="E18" s="33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41"/>
      <c r="W18" s="2"/>
      <c r="X18" s="2"/>
    </row>
    <row r="19" spans="1:24" ht="53.25" customHeight="1">
      <c r="A19" s="42"/>
      <c r="B19" s="44" t="s">
        <v>23</v>
      </c>
      <c r="C19" s="37">
        <v>813</v>
      </c>
      <c r="D19" s="45" t="s">
        <v>24</v>
      </c>
      <c r="E19" s="37" t="s">
        <v>164</v>
      </c>
      <c r="F19" s="29">
        <f t="shared" si="0"/>
        <v>29124.5</v>
      </c>
      <c r="G19" s="34">
        <f>748.1+3578.6</f>
        <v>4326.7</v>
      </c>
      <c r="H19" s="34">
        <v>24185.3</v>
      </c>
      <c r="I19" s="34">
        <v>612.5</v>
      </c>
      <c r="J19" s="28">
        <f t="shared" ref="J19:J27" si="18">K19+L19+M19</f>
        <v>0</v>
      </c>
      <c r="K19" s="34"/>
      <c r="L19" s="34"/>
      <c r="M19" s="34">
        <v>0</v>
      </c>
      <c r="N19" s="28">
        <f t="shared" ref="N19:N27" si="19">O19+P19+Q19</f>
        <v>6331.4</v>
      </c>
      <c r="O19" s="34">
        <v>185.7</v>
      </c>
      <c r="P19" s="34">
        <v>6003.7</v>
      </c>
      <c r="Q19" s="34">
        <v>142</v>
      </c>
      <c r="R19" s="28">
        <f t="shared" ref="R19:R27" si="20">S19+T19+U19</f>
        <v>6191.1</v>
      </c>
      <c r="S19" s="34">
        <v>185.7</v>
      </c>
      <c r="T19" s="34">
        <v>6005.4</v>
      </c>
      <c r="U19" s="34"/>
      <c r="V19" s="35">
        <f t="shared" si="4"/>
        <v>0</v>
      </c>
      <c r="W19" s="2"/>
      <c r="X19" s="2"/>
    </row>
    <row r="20" spans="1:24" ht="39" customHeight="1">
      <c r="A20" s="42"/>
      <c r="B20" s="44" t="s">
        <v>133</v>
      </c>
      <c r="C20" s="37">
        <v>821</v>
      </c>
      <c r="D20" s="45" t="s">
        <v>19</v>
      </c>
      <c r="E20" s="37" t="s">
        <v>233</v>
      </c>
      <c r="F20" s="29">
        <f t="shared" si="0"/>
        <v>41930.800000000003</v>
      </c>
      <c r="G20" s="34">
        <v>35000</v>
      </c>
      <c r="H20" s="34"/>
      <c r="I20" s="34">
        <v>6930.8</v>
      </c>
      <c r="J20" s="28">
        <f t="shared" si="18"/>
        <v>41772.800000000003</v>
      </c>
      <c r="K20" s="34">
        <f>14631.2+14667.8+5701</f>
        <v>35000</v>
      </c>
      <c r="L20" s="34"/>
      <c r="M20" s="34">
        <v>6772.8</v>
      </c>
      <c r="N20" s="28">
        <f t="shared" si="19"/>
        <v>0</v>
      </c>
      <c r="O20" s="34"/>
      <c r="P20" s="34"/>
      <c r="Q20" s="34"/>
      <c r="R20" s="28">
        <f t="shared" si="20"/>
        <v>0</v>
      </c>
      <c r="S20" s="34"/>
      <c r="T20" s="34"/>
      <c r="U20" s="34"/>
      <c r="V20" s="35">
        <f t="shared" si="4"/>
        <v>0.996</v>
      </c>
      <c r="W20" s="2"/>
      <c r="X20" s="2"/>
    </row>
    <row r="21" spans="1:24" ht="78" customHeight="1">
      <c r="A21" s="42"/>
      <c r="B21" s="44" t="s">
        <v>215</v>
      </c>
      <c r="C21" s="37">
        <v>813</v>
      </c>
      <c r="D21" s="38" t="s">
        <v>24</v>
      </c>
      <c r="E21" s="37" t="s">
        <v>214</v>
      </c>
      <c r="F21" s="29">
        <f t="shared" si="0"/>
        <v>47368.4</v>
      </c>
      <c r="G21" s="34">
        <v>45000</v>
      </c>
      <c r="H21" s="34"/>
      <c r="I21" s="34">
        <v>2368.4</v>
      </c>
      <c r="J21" s="28">
        <f t="shared" si="18"/>
        <v>45729.5</v>
      </c>
      <c r="K21" s="34">
        <f>11508.6+2660+30831.4</f>
        <v>45000</v>
      </c>
      <c r="L21" s="34"/>
      <c r="M21" s="34">
        <v>729.5</v>
      </c>
      <c r="N21" s="28">
        <f t="shared" si="19"/>
        <v>10526.3</v>
      </c>
      <c r="O21" s="34">
        <v>10000</v>
      </c>
      <c r="P21" s="34"/>
      <c r="Q21" s="34">
        <v>526.29999999999995</v>
      </c>
      <c r="R21" s="28">
        <f t="shared" si="20"/>
        <v>10526.3</v>
      </c>
      <c r="S21" s="34">
        <v>10000</v>
      </c>
      <c r="T21" s="34"/>
      <c r="U21" s="34">
        <v>526.29999999999995</v>
      </c>
      <c r="V21" s="35">
        <f t="shared" si="4"/>
        <v>0.96499999999999997</v>
      </c>
      <c r="W21" s="2"/>
      <c r="X21" s="2"/>
    </row>
    <row r="22" spans="1:24" ht="134.25" customHeight="1">
      <c r="A22" s="42"/>
      <c r="B22" s="44" t="s">
        <v>25</v>
      </c>
      <c r="C22" s="37">
        <v>813</v>
      </c>
      <c r="D22" s="38" t="s">
        <v>24</v>
      </c>
      <c r="E22" s="37" t="s">
        <v>217</v>
      </c>
      <c r="F22" s="29">
        <f t="shared" si="0"/>
        <v>10098.5</v>
      </c>
      <c r="G22" s="34">
        <v>9000</v>
      </c>
      <c r="H22" s="34"/>
      <c r="I22" s="34">
        <v>1098.5</v>
      </c>
      <c r="J22" s="28">
        <f t="shared" si="18"/>
        <v>7260</v>
      </c>
      <c r="K22" s="34">
        <f>3900+2700</f>
        <v>6600</v>
      </c>
      <c r="L22" s="34"/>
      <c r="M22" s="34">
        <v>660</v>
      </c>
      <c r="N22" s="28">
        <f t="shared" si="19"/>
        <v>9589</v>
      </c>
      <c r="O22" s="34">
        <v>9000</v>
      </c>
      <c r="P22" s="34"/>
      <c r="Q22" s="34">
        <v>589</v>
      </c>
      <c r="R22" s="28">
        <f t="shared" si="20"/>
        <v>9529</v>
      </c>
      <c r="S22" s="34">
        <v>9000</v>
      </c>
      <c r="T22" s="34"/>
      <c r="U22" s="34">
        <v>529</v>
      </c>
      <c r="V22" s="35">
        <f t="shared" si="4"/>
        <v>0.71899999999999997</v>
      </c>
      <c r="W22" s="2"/>
      <c r="X22" s="2"/>
    </row>
    <row r="23" spans="1:24" ht="49.5">
      <c r="A23" s="42"/>
      <c r="B23" s="44" t="s">
        <v>26</v>
      </c>
      <c r="C23" s="37">
        <v>813</v>
      </c>
      <c r="D23" s="45" t="s">
        <v>24</v>
      </c>
      <c r="E23" s="37" t="s">
        <v>216</v>
      </c>
      <c r="F23" s="29">
        <f t="shared" si="0"/>
        <v>84041.1</v>
      </c>
      <c r="G23" s="34">
        <v>71646.899999999994</v>
      </c>
      <c r="H23" s="34"/>
      <c r="I23" s="34">
        <v>12394.2</v>
      </c>
      <c r="J23" s="28">
        <f t="shared" si="18"/>
        <v>51646</v>
      </c>
      <c r="K23" s="34">
        <f>17258.3+9957.3+5553.9+5553.9+5553.8</f>
        <v>43877.2</v>
      </c>
      <c r="L23" s="34"/>
      <c r="M23" s="34">
        <v>7768.8</v>
      </c>
      <c r="N23" s="28">
        <f t="shared" si="19"/>
        <v>82097.100000000006</v>
      </c>
      <c r="O23" s="34">
        <v>71646.899999999994</v>
      </c>
      <c r="P23" s="34"/>
      <c r="Q23" s="34">
        <v>10450.200000000001</v>
      </c>
      <c r="R23" s="28">
        <f t="shared" si="20"/>
        <v>82187.5</v>
      </c>
      <c r="S23" s="34">
        <v>71646.899999999994</v>
      </c>
      <c r="T23" s="34"/>
      <c r="U23" s="34">
        <v>10540.6</v>
      </c>
      <c r="V23" s="35">
        <f t="shared" si="4"/>
        <v>0.61499999999999999</v>
      </c>
      <c r="W23" s="2"/>
      <c r="X23" s="2"/>
    </row>
    <row r="24" spans="1:24" ht="87.75" customHeight="1">
      <c r="A24" s="42"/>
      <c r="B24" s="44" t="s">
        <v>160</v>
      </c>
      <c r="C24" s="37">
        <v>813</v>
      </c>
      <c r="D24" s="38" t="s">
        <v>24</v>
      </c>
      <c r="E24" s="37" t="s">
        <v>161</v>
      </c>
      <c r="F24" s="29">
        <f t="shared" si="0"/>
        <v>8039.5</v>
      </c>
      <c r="G24" s="34">
        <v>3000</v>
      </c>
      <c r="H24" s="34">
        <v>4815.6000000000004</v>
      </c>
      <c r="I24" s="34">
        <v>223.9</v>
      </c>
      <c r="J24" s="28">
        <f t="shared" si="18"/>
        <v>3389.1</v>
      </c>
      <c r="K24" s="34">
        <f>873.6+121.2+116.4+157.3</f>
        <v>1268.5</v>
      </c>
      <c r="L24" s="34">
        <f>1402.4+194.5+186.8+252.5</f>
        <v>2036.2</v>
      </c>
      <c r="M24" s="34">
        <v>84.4</v>
      </c>
      <c r="N24" s="28">
        <f t="shared" si="19"/>
        <v>8578.2000000000007</v>
      </c>
      <c r="O24" s="34">
        <v>3000</v>
      </c>
      <c r="P24" s="34">
        <v>5345.8</v>
      </c>
      <c r="Q24" s="34">
        <v>232.4</v>
      </c>
      <c r="R24" s="28">
        <f t="shared" si="20"/>
        <v>8574.5</v>
      </c>
      <c r="S24" s="34">
        <v>3000</v>
      </c>
      <c r="T24" s="34">
        <v>5345.8</v>
      </c>
      <c r="U24" s="34">
        <v>228.7</v>
      </c>
      <c r="V24" s="35">
        <f t="shared" si="4"/>
        <v>0.42199999999999999</v>
      </c>
      <c r="W24" s="2"/>
      <c r="X24" s="2"/>
    </row>
    <row r="25" spans="1:24" ht="75" customHeight="1">
      <c r="A25" s="42"/>
      <c r="B25" s="44" t="s">
        <v>162</v>
      </c>
      <c r="C25" s="37">
        <v>821</v>
      </c>
      <c r="D25" s="38" t="s">
        <v>19</v>
      </c>
      <c r="E25" s="37" t="s">
        <v>163</v>
      </c>
      <c r="F25" s="29">
        <f t="shared" si="0"/>
        <v>184027</v>
      </c>
      <c r="G25" s="34">
        <v>5478.5</v>
      </c>
      <c r="H25" s="34">
        <v>177137.6</v>
      </c>
      <c r="I25" s="34">
        <v>1410.9</v>
      </c>
      <c r="J25" s="28">
        <f t="shared" si="18"/>
        <v>0</v>
      </c>
      <c r="K25" s="34"/>
      <c r="L25" s="34"/>
      <c r="M25" s="34">
        <v>0</v>
      </c>
      <c r="N25" s="28">
        <f t="shared" si="19"/>
        <v>75536</v>
      </c>
      <c r="O25" s="34">
        <v>2253.5</v>
      </c>
      <c r="P25" s="34">
        <v>72862.399999999994</v>
      </c>
      <c r="Q25" s="34">
        <v>420.1</v>
      </c>
      <c r="R25" s="28">
        <f t="shared" si="20"/>
        <v>0</v>
      </c>
      <c r="S25" s="34"/>
      <c r="T25" s="34"/>
      <c r="U25" s="34">
        <v>0</v>
      </c>
      <c r="V25" s="35">
        <f t="shared" si="4"/>
        <v>0</v>
      </c>
      <c r="W25" s="2"/>
      <c r="X25" s="2"/>
    </row>
    <row r="26" spans="1:24" ht="65.25" customHeight="1">
      <c r="A26" s="42"/>
      <c r="B26" s="44" t="s">
        <v>165</v>
      </c>
      <c r="C26" s="37">
        <v>813</v>
      </c>
      <c r="D26" s="38" t="s">
        <v>24</v>
      </c>
      <c r="E26" s="37" t="s">
        <v>166</v>
      </c>
      <c r="F26" s="29">
        <f t="shared" si="0"/>
        <v>45127</v>
      </c>
      <c r="G26" s="34">
        <v>1329.9</v>
      </c>
      <c r="H26" s="34">
        <v>43000</v>
      </c>
      <c r="I26" s="34">
        <v>797.1</v>
      </c>
      <c r="J26" s="28">
        <f t="shared" si="18"/>
        <v>7078.8</v>
      </c>
      <c r="K26" s="34">
        <f>57.3+155</f>
        <v>212.3</v>
      </c>
      <c r="L26" s="34">
        <f>1853.5+5013</f>
        <v>6866.5</v>
      </c>
      <c r="M26" s="34">
        <v>0</v>
      </c>
      <c r="N26" s="28">
        <f t="shared" si="19"/>
        <v>18556.7</v>
      </c>
      <c r="O26" s="34">
        <v>556.70000000000005</v>
      </c>
      <c r="P26" s="34">
        <v>18000</v>
      </c>
      <c r="Q26" s="34"/>
      <c r="R26" s="28">
        <f t="shared" si="20"/>
        <v>18556.7</v>
      </c>
      <c r="S26" s="34">
        <v>556.70000000000005</v>
      </c>
      <c r="T26" s="34">
        <v>18000</v>
      </c>
      <c r="U26" s="34"/>
      <c r="V26" s="35">
        <f t="shared" si="4"/>
        <v>0.157</v>
      </c>
      <c r="W26" s="2"/>
      <c r="X26" s="2"/>
    </row>
    <row r="27" spans="1:24" ht="90">
      <c r="A27" s="12" t="s">
        <v>27</v>
      </c>
      <c r="B27" s="26" t="s">
        <v>318</v>
      </c>
      <c r="C27" s="40" t="s">
        <v>12</v>
      </c>
      <c r="D27" s="40" t="s">
        <v>12</v>
      </c>
      <c r="E27" s="40" t="s">
        <v>12</v>
      </c>
      <c r="F27" s="29">
        <f t="shared" si="0"/>
        <v>2101230.1</v>
      </c>
      <c r="G27" s="29">
        <f>SUM(G29:G34)</f>
        <v>1233577.1000000001</v>
      </c>
      <c r="H27" s="29">
        <f>SUM(H29:H34)</f>
        <v>836293.5</v>
      </c>
      <c r="I27" s="29">
        <f>SUM(I29:I34)</f>
        <v>31359.5</v>
      </c>
      <c r="J27" s="28">
        <f t="shared" si="18"/>
        <v>522475.1</v>
      </c>
      <c r="K27" s="29">
        <f>SUM(K29:K34)</f>
        <v>255622.39999999999</v>
      </c>
      <c r="L27" s="29">
        <f>SUM(L29:L34)</f>
        <v>238094.9</v>
      </c>
      <c r="M27" s="29">
        <f>SUM(M29:M34)</f>
        <v>28757.8</v>
      </c>
      <c r="N27" s="28">
        <f t="shared" si="19"/>
        <v>16787</v>
      </c>
      <c r="O27" s="29">
        <f>SUM(O29:O34)</f>
        <v>503.6</v>
      </c>
      <c r="P27" s="29">
        <f>SUM(P29:P34)</f>
        <v>16283.4</v>
      </c>
      <c r="Q27" s="29">
        <f>SUM(Q29:Q34)</f>
        <v>0</v>
      </c>
      <c r="R27" s="28">
        <f t="shared" si="20"/>
        <v>9202</v>
      </c>
      <c r="S27" s="29">
        <f>SUM(S29:S34)</f>
        <v>276.10000000000002</v>
      </c>
      <c r="T27" s="29">
        <f>SUM(T29:T34)</f>
        <v>8925.9</v>
      </c>
      <c r="U27" s="29">
        <f>SUM(U29:U34)</f>
        <v>0</v>
      </c>
      <c r="V27" s="30">
        <f t="shared" si="4"/>
        <v>0.249</v>
      </c>
      <c r="W27" s="46" t="s">
        <v>351</v>
      </c>
      <c r="X27" s="2"/>
    </row>
    <row r="28" spans="1:24" ht="18.75">
      <c r="A28" s="25"/>
      <c r="B28" s="43" t="s">
        <v>15</v>
      </c>
      <c r="C28" s="33"/>
      <c r="D28" s="33"/>
      <c r="E28" s="33"/>
      <c r="F28" s="29"/>
      <c r="G28" s="29"/>
      <c r="H28" s="29"/>
      <c r="I28" s="29"/>
      <c r="J28" s="28"/>
      <c r="K28" s="29"/>
      <c r="L28" s="29"/>
      <c r="M28" s="29"/>
      <c r="N28" s="28"/>
      <c r="O28" s="29"/>
      <c r="P28" s="29"/>
      <c r="Q28" s="29"/>
      <c r="R28" s="28"/>
      <c r="S28" s="29"/>
      <c r="T28" s="29"/>
      <c r="U28" s="29"/>
      <c r="V28" s="30"/>
      <c r="W28" s="2"/>
      <c r="X28" s="2"/>
    </row>
    <row r="29" spans="1:24" ht="73.5" customHeight="1">
      <c r="A29" s="25"/>
      <c r="B29" s="47" t="s">
        <v>371</v>
      </c>
      <c r="C29" s="37">
        <v>815</v>
      </c>
      <c r="D29" s="38" t="s">
        <v>50</v>
      </c>
      <c r="E29" s="37" t="s">
        <v>258</v>
      </c>
      <c r="F29" s="29">
        <f t="shared" si="0"/>
        <v>28405.3</v>
      </c>
      <c r="G29" s="34">
        <f>9055+9699.4</f>
        <v>18754.400000000001</v>
      </c>
      <c r="H29" s="34"/>
      <c r="I29" s="34">
        <v>9650.9</v>
      </c>
      <c r="J29" s="28">
        <f t="shared" ref="J29:J35" si="21">K29+L29+M29</f>
        <v>9163.9</v>
      </c>
      <c r="K29" s="34"/>
      <c r="L29" s="34"/>
      <c r="M29" s="34">
        <v>9163.9</v>
      </c>
      <c r="N29" s="28">
        <f t="shared" ref="N29:N35" si="22">O29+P29+Q29</f>
        <v>0</v>
      </c>
      <c r="O29" s="34"/>
      <c r="P29" s="34"/>
      <c r="Q29" s="34"/>
      <c r="R29" s="28">
        <f t="shared" ref="R29:R35" si="23">S29+T29+U29</f>
        <v>0</v>
      </c>
      <c r="S29" s="34"/>
      <c r="T29" s="34"/>
      <c r="U29" s="34"/>
      <c r="V29" s="35">
        <f t="shared" si="4"/>
        <v>0.32300000000000001</v>
      </c>
      <c r="W29" s="2"/>
      <c r="X29" s="2"/>
    </row>
    <row r="30" spans="1:24" ht="60" customHeight="1">
      <c r="A30" s="25"/>
      <c r="B30" s="48" t="s">
        <v>336</v>
      </c>
      <c r="C30" s="37">
        <v>815</v>
      </c>
      <c r="D30" s="38" t="s">
        <v>50</v>
      </c>
      <c r="E30" s="37" t="s">
        <v>335</v>
      </c>
      <c r="F30" s="29">
        <f t="shared" ref="F30" si="24">G30+H30+I30</f>
        <v>19690</v>
      </c>
      <c r="G30" s="34"/>
      <c r="H30" s="34"/>
      <c r="I30" s="34">
        <v>19690</v>
      </c>
      <c r="J30" s="28">
        <f t="shared" ref="J30" si="25">K30+L30+M30</f>
        <v>19108.3</v>
      </c>
      <c r="K30" s="34"/>
      <c r="L30" s="34"/>
      <c r="M30" s="34">
        <v>19108.3</v>
      </c>
      <c r="N30" s="28">
        <f t="shared" ref="N30" si="26">O30+P30+Q30</f>
        <v>0</v>
      </c>
      <c r="O30" s="34"/>
      <c r="P30" s="34"/>
      <c r="Q30" s="34"/>
      <c r="R30" s="28">
        <f t="shared" ref="R30" si="27">S30+T30+U30</f>
        <v>0</v>
      </c>
      <c r="S30" s="34"/>
      <c r="T30" s="34"/>
      <c r="U30" s="34"/>
      <c r="V30" s="35"/>
      <c r="W30" s="2"/>
      <c r="X30" s="2"/>
    </row>
    <row r="31" spans="1:24" ht="160.5" customHeight="1">
      <c r="A31" s="25"/>
      <c r="B31" s="49" t="s">
        <v>181</v>
      </c>
      <c r="C31" s="37">
        <v>815</v>
      </c>
      <c r="D31" s="38" t="s">
        <v>50</v>
      </c>
      <c r="E31" s="37" t="s">
        <v>182</v>
      </c>
      <c r="F31" s="29">
        <f t="shared" si="0"/>
        <v>24680</v>
      </c>
      <c r="G31" s="34">
        <v>740.4</v>
      </c>
      <c r="H31" s="34">
        <v>23939.599999999999</v>
      </c>
      <c r="I31" s="34">
        <v>0</v>
      </c>
      <c r="J31" s="28">
        <f t="shared" si="21"/>
        <v>8489.6</v>
      </c>
      <c r="K31" s="34">
        <f>39+215.7</f>
        <v>254.7</v>
      </c>
      <c r="L31" s="34">
        <f>1261+6973.9</f>
        <v>8234.9</v>
      </c>
      <c r="M31" s="34">
        <v>0</v>
      </c>
      <c r="N31" s="28">
        <f t="shared" si="22"/>
        <v>6787</v>
      </c>
      <c r="O31" s="34">
        <v>203.6</v>
      </c>
      <c r="P31" s="34">
        <v>6583.4</v>
      </c>
      <c r="Q31" s="34"/>
      <c r="R31" s="28">
        <f t="shared" si="23"/>
        <v>3702</v>
      </c>
      <c r="S31" s="34">
        <v>111.1</v>
      </c>
      <c r="T31" s="34">
        <v>3590.9</v>
      </c>
      <c r="U31" s="34"/>
      <c r="V31" s="35">
        <f t="shared" si="4"/>
        <v>0.34399999999999997</v>
      </c>
      <c r="W31" s="2"/>
      <c r="X31" s="2"/>
    </row>
    <row r="32" spans="1:24" ht="93" customHeight="1">
      <c r="A32" s="25"/>
      <c r="B32" s="44" t="s">
        <v>28</v>
      </c>
      <c r="C32" s="37">
        <v>821</v>
      </c>
      <c r="D32" s="38" t="s">
        <v>19</v>
      </c>
      <c r="E32" s="37" t="s">
        <v>180</v>
      </c>
      <c r="F32" s="29">
        <f t="shared" si="0"/>
        <v>1737494.3</v>
      </c>
      <c r="G32" s="34">
        <v>933102.8</v>
      </c>
      <c r="H32" s="34">
        <v>802653.9</v>
      </c>
      <c r="I32" s="34">
        <v>1737.6</v>
      </c>
      <c r="J32" s="28">
        <f t="shared" si="21"/>
        <v>471753.7</v>
      </c>
      <c r="K32" s="34">
        <f>128949.3+36606.6+76063</f>
        <v>241618.9</v>
      </c>
      <c r="L32" s="34">
        <f>117299+32972.7+79391.3</f>
        <v>229663</v>
      </c>
      <c r="M32" s="34">
        <v>471.8</v>
      </c>
      <c r="N32" s="28">
        <f t="shared" si="22"/>
        <v>0</v>
      </c>
      <c r="O32" s="34"/>
      <c r="P32" s="34"/>
      <c r="Q32" s="34"/>
      <c r="R32" s="28">
        <f t="shared" si="23"/>
        <v>0</v>
      </c>
      <c r="S32" s="34"/>
      <c r="T32" s="34"/>
      <c r="U32" s="34"/>
      <c r="V32" s="35">
        <f t="shared" si="4"/>
        <v>0.27200000000000002</v>
      </c>
      <c r="W32" s="2"/>
      <c r="X32" s="2"/>
    </row>
    <row r="33" spans="1:103" ht="89.25" customHeight="1">
      <c r="A33" s="25"/>
      <c r="B33" s="44" t="s">
        <v>28</v>
      </c>
      <c r="C33" s="37">
        <v>821</v>
      </c>
      <c r="D33" s="38" t="s">
        <v>19</v>
      </c>
      <c r="E33" s="37" t="s">
        <v>325</v>
      </c>
      <c r="F33" s="29">
        <f t="shared" si="0"/>
        <v>280960.5</v>
      </c>
      <c r="G33" s="34">
        <v>280679.5</v>
      </c>
      <c r="H33" s="34"/>
      <c r="I33" s="34">
        <v>281</v>
      </c>
      <c r="J33" s="28">
        <f t="shared" si="21"/>
        <v>13756.5</v>
      </c>
      <c r="K33" s="34">
        <f>1522.6+9522.2+2697.9</f>
        <v>13742.7</v>
      </c>
      <c r="L33" s="34"/>
      <c r="M33" s="34">
        <v>13.8</v>
      </c>
      <c r="N33" s="28">
        <f t="shared" si="22"/>
        <v>0</v>
      </c>
      <c r="O33" s="34"/>
      <c r="P33" s="34"/>
      <c r="Q33" s="34"/>
      <c r="R33" s="28">
        <f t="shared" si="23"/>
        <v>0</v>
      </c>
      <c r="S33" s="34"/>
      <c r="T33" s="34"/>
      <c r="U33" s="34"/>
      <c r="V33" s="35"/>
      <c r="W33" s="2"/>
      <c r="X33" s="2"/>
    </row>
    <row r="34" spans="1:103" ht="33">
      <c r="A34" s="25"/>
      <c r="B34" s="44" t="s">
        <v>143</v>
      </c>
      <c r="C34" s="37">
        <v>839</v>
      </c>
      <c r="D34" s="45" t="s">
        <v>16</v>
      </c>
      <c r="E34" s="37" t="s">
        <v>276</v>
      </c>
      <c r="F34" s="28">
        <f t="shared" si="0"/>
        <v>10000</v>
      </c>
      <c r="G34" s="34">
        <v>300</v>
      </c>
      <c r="H34" s="34">
        <v>9700</v>
      </c>
      <c r="I34" s="34"/>
      <c r="J34" s="28">
        <f t="shared" si="21"/>
        <v>203.1</v>
      </c>
      <c r="K34" s="34">
        <f>1.8+0.2+4.1</f>
        <v>6.1</v>
      </c>
      <c r="L34" s="34">
        <f>59.1+5.5+132.4</f>
        <v>197</v>
      </c>
      <c r="M34" s="34"/>
      <c r="N34" s="28">
        <f t="shared" si="22"/>
        <v>10000</v>
      </c>
      <c r="O34" s="34">
        <v>300</v>
      </c>
      <c r="P34" s="34">
        <v>9700</v>
      </c>
      <c r="Q34" s="34"/>
      <c r="R34" s="28">
        <f t="shared" si="23"/>
        <v>5500</v>
      </c>
      <c r="S34" s="34">
        <v>165</v>
      </c>
      <c r="T34" s="34">
        <v>5335</v>
      </c>
      <c r="U34" s="34"/>
      <c r="V34" s="35">
        <f t="shared" si="4"/>
        <v>0.02</v>
      </c>
      <c r="W34" s="2"/>
      <c r="X34" s="2"/>
    </row>
    <row r="35" spans="1:103" ht="33">
      <c r="A35" s="12" t="s">
        <v>29</v>
      </c>
      <c r="B35" s="26" t="s">
        <v>30</v>
      </c>
      <c r="C35" s="40" t="s">
        <v>12</v>
      </c>
      <c r="D35" s="40" t="s">
        <v>12</v>
      </c>
      <c r="E35" s="40" t="s">
        <v>12</v>
      </c>
      <c r="F35" s="29">
        <f t="shared" si="0"/>
        <v>1774696.8</v>
      </c>
      <c r="G35" s="29">
        <f>SUM(G37:G39)</f>
        <v>532407.19999999995</v>
      </c>
      <c r="H35" s="29">
        <f t="shared" ref="H35" si="28">SUM(H37:H39)</f>
        <v>1242289.6000000001</v>
      </c>
      <c r="I35" s="29">
        <f t="shared" ref="I35" si="29">SUM(I37:I39)</f>
        <v>0</v>
      </c>
      <c r="J35" s="28">
        <f t="shared" si="21"/>
        <v>1104247.3</v>
      </c>
      <c r="K35" s="29">
        <f t="shared" ref="K35:M35" si="30">SUM(K37:K39)</f>
        <v>285545.8</v>
      </c>
      <c r="L35" s="29">
        <f t="shared" si="30"/>
        <v>818701.5</v>
      </c>
      <c r="M35" s="29">
        <f t="shared" si="30"/>
        <v>0</v>
      </c>
      <c r="N35" s="28">
        <f t="shared" si="22"/>
        <v>2035919.6</v>
      </c>
      <c r="O35" s="29">
        <f t="shared" ref="O35:T35" si="31">SUM(O37:O39)</f>
        <v>295666.5</v>
      </c>
      <c r="P35" s="29">
        <f t="shared" si="31"/>
        <v>1740253.1</v>
      </c>
      <c r="Q35" s="29">
        <f t="shared" si="31"/>
        <v>0</v>
      </c>
      <c r="R35" s="28">
        <f t="shared" si="23"/>
        <v>1844687.5</v>
      </c>
      <c r="S35" s="29">
        <f t="shared" si="31"/>
        <v>103881.2</v>
      </c>
      <c r="T35" s="29">
        <f t="shared" si="31"/>
        <v>1740806.3</v>
      </c>
      <c r="U35" s="29">
        <f t="shared" ref="U35" si="32">SUM(U37:U39)</f>
        <v>0</v>
      </c>
      <c r="V35" s="30">
        <f t="shared" si="4"/>
        <v>0.622</v>
      </c>
      <c r="W35" s="50" t="s">
        <v>352</v>
      </c>
      <c r="X35" s="2"/>
    </row>
    <row r="36" spans="1:103" ht="18.75">
      <c r="A36" s="25"/>
      <c r="B36" s="43" t="s">
        <v>15</v>
      </c>
      <c r="C36" s="33"/>
      <c r="D36" s="45"/>
      <c r="E36" s="33"/>
      <c r="F36" s="29"/>
      <c r="G36" s="29"/>
      <c r="H36" s="29"/>
      <c r="I36" s="29"/>
      <c r="J36" s="28"/>
      <c r="K36" s="29"/>
      <c r="L36" s="29"/>
      <c r="M36" s="29"/>
      <c r="N36" s="28"/>
      <c r="O36" s="29"/>
      <c r="P36" s="29"/>
      <c r="Q36" s="29"/>
      <c r="R36" s="28"/>
      <c r="S36" s="29"/>
      <c r="T36" s="29"/>
      <c r="U36" s="29"/>
      <c r="V36" s="30"/>
      <c r="W36" s="2"/>
      <c r="X36" s="2"/>
    </row>
    <row r="37" spans="1:103" ht="40.5" customHeight="1">
      <c r="A37" s="25"/>
      <c r="B37" s="44" t="s">
        <v>31</v>
      </c>
      <c r="C37" s="37">
        <v>809</v>
      </c>
      <c r="D37" s="38" t="s">
        <v>20</v>
      </c>
      <c r="E37" s="37" t="s">
        <v>191</v>
      </c>
      <c r="F37" s="29">
        <f t="shared" si="0"/>
        <v>1025023.9</v>
      </c>
      <c r="G37" s="34"/>
      <c r="H37" s="34">
        <v>1025023.9</v>
      </c>
      <c r="I37" s="34"/>
      <c r="J37" s="28">
        <f t="shared" ref="J37:J39" si="33">K37+L37+M37</f>
        <v>673024.9</v>
      </c>
      <c r="K37" s="34"/>
      <c r="L37" s="34">
        <f>482092.8+96529.7+94402.4</f>
        <v>673024.9</v>
      </c>
      <c r="M37" s="34"/>
      <c r="N37" s="28">
        <f t="shared" ref="N37:N39" si="34">O37+P37+Q37</f>
        <v>1036285.9</v>
      </c>
      <c r="O37" s="34"/>
      <c r="P37" s="34">
        <v>1036285.9</v>
      </c>
      <c r="Q37" s="34"/>
      <c r="R37" s="28">
        <f t="shared" ref="R37:R39" si="35">S37+T37+U37</f>
        <v>1045601.6</v>
      </c>
      <c r="S37" s="34"/>
      <c r="T37" s="34">
        <v>1045601.6</v>
      </c>
      <c r="U37" s="34"/>
      <c r="V37" s="35">
        <f t="shared" si="4"/>
        <v>0.65700000000000003</v>
      </c>
      <c r="W37" s="2"/>
      <c r="X37" s="2"/>
    </row>
    <row r="38" spans="1:103" ht="87" customHeight="1">
      <c r="A38" s="25"/>
      <c r="B38" s="44" t="s">
        <v>294</v>
      </c>
      <c r="C38" s="37">
        <v>809</v>
      </c>
      <c r="D38" s="38" t="s">
        <v>20</v>
      </c>
      <c r="E38" s="37" t="s">
        <v>212</v>
      </c>
      <c r="F38" s="29">
        <f t="shared" si="0"/>
        <v>487907</v>
      </c>
      <c r="G38" s="34">
        <v>487907</v>
      </c>
      <c r="H38" s="34"/>
      <c r="I38" s="34"/>
      <c r="J38" s="28">
        <f t="shared" si="33"/>
        <v>255708.4</v>
      </c>
      <c r="K38" s="34">
        <f>187267.3+34723.6+33717.5</f>
        <v>255708.4</v>
      </c>
      <c r="L38" s="34"/>
      <c r="M38" s="34"/>
      <c r="N38" s="28">
        <f t="shared" si="34"/>
        <v>190476</v>
      </c>
      <c r="O38" s="34">
        <v>190476</v>
      </c>
      <c r="P38" s="34"/>
      <c r="Q38" s="34"/>
      <c r="R38" s="28">
        <f t="shared" si="35"/>
        <v>0</v>
      </c>
      <c r="S38" s="34"/>
      <c r="T38" s="34"/>
      <c r="U38" s="34"/>
      <c r="V38" s="35">
        <f t="shared" si="4"/>
        <v>0.52400000000000002</v>
      </c>
      <c r="W38" s="2"/>
      <c r="X38" s="2"/>
    </row>
    <row r="39" spans="1:103" ht="72" customHeight="1">
      <c r="A39" s="25"/>
      <c r="B39" s="44" t="s">
        <v>32</v>
      </c>
      <c r="C39" s="37">
        <v>809</v>
      </c>
      <c r="D39" s="38" t="s">
        <v>20</v>
      </c>
      <c r="E39" s="37" t="s">
        <v>190</v>
      </c>
      <c r="F39" s="29">
        <f t="shared" si="0"/>
        <v>261765.9</v>
      </c>
      <c r="G39" s="34">
        <v>44500.2</v>
      </c>
      <c r="H39" s="34">
        <v>217265.7</v>
      </c>
      <c r="I39" s="34"/>
      <c r="J39" s="28">
        <f t="shared" si="33"/>
        <v>175514</v>
      </c>
      <c r="K39" s="34">
        <f>20262.7+4802+4772.7</f>
        <v>29837.4</v>
      </c>
      <c r="L39" s="34">
        <f>98929.6+23445+23302</f>
        <v>145676.6</v>
      </c>
      <c r="M39" s="34"/>
      <c r="N39" s="28">
        <f t="shared" si="34"/>
        <v>809157.7</v>
      </c>
      <c r="O39" s="34">
        <v>105190.5</v>
      </c>
      <c r="P39" s="34">
        <v>703967.2</v>
      </c>
      <c r="Q39" s="34"/>
      <c r="R39" s="28">
        <f t="shared" si="35"/>
        <v>799085.9</v>
      </c>
      <c r="S39" s="34">
        <v>103881.2</v>
      </c>
      <c r="T39" s="34">
        <v>695204.7</v>
      </c>
      <c r="U39" s="34"/>
      <c r="V39" s="35">
        <f t="shared" si="4"/>
        <v>0.67</v>
      </c>
      <c r="W39" s="2"/>
      <c r="X39" s="2"/>
    </row>
    <row r="40" spans="1:103" ht="24" customHeight="1">
      <c r="A40" s="22" t="s">
        <v>33</v>
      </c>
      <c r="B40" s="51" t="s">
        <v>34</v>
      </c>
      <c r="C40" s="52" t="s">
        <v>12</v>
      </c>
      <c r="D40" s="52" t="s">
        <v>12</v>
      </c>
      <c r="E40" s="52" t="s">
        <v>12</v>
      </c>
      <c r="F40" s="53">
        <f t="shared" si="0"/>
        <v>3904006.3</v>
      </c>
      <c r="G40" s="53">
        <f>G41+G46+G50+G53</f>
        <v>771977</v>
      </c>
      <c r="H40" s="53">
        <f>H41+H46+H50+H53</f>
        <v>3132029.3</v>
      </c>
      <c r="I40" s="53">
        <f>I41+I46+I50+I53</f>
        <v>0</v>
      </c>
      <c r="J40" s="53">
        <f t="shared" ref="J40:J41" si="36">K40+L40+M40</f>
        <v>302419.5</v>
      </c>
      <c r="K40" s="53">
        <f>K41+K46+K50+K53</f>
        <v>110191</v>
      </c>
      <c r="L40" s="53">
        <f>L41+L46+L50+L53</f>
        <v>192228.5</v>
      </c>
      <c r="M40" s="53">
        <f>M41+M46+M50+M53</f>
        <v>0</v>
      </c>
      <c r="N40" s="53">
        <f t="shared" ref="N40:N41" si="37">O40+P40+Q40</f>
        <v>624926.4</v>
      </c>
      <c r="O40" s="53">
        <f>O41+O46+O50+O53</f>
        <v>145833.79999999999</v>
      </c>
      <c r="P40" s="53">
        <f>P41+P46+P50+P53</f>
        <v>479092.6</v>
      </c>
      <c r="Q40" s="53">
        <f>Q41+Q46+Q50+Q53</f>
        <v>0</v>
      </c>
      <c r="R40" s="53">
        <f t="shared" ref="R40:R41" si="38">S40+T40+U40</f>
        <v>417127</v>
      </c>
      <c r="S40" s="53">
        <f>S41+S46+S50+S53</f>
        <v>158561.29999999999</v>
      </c>
      <c r="T40" s="53">
        <f>T41+T46+T50+T53</f>
        <v>258565.7</v>
      </c>
      <c r="U40" s="53">
        <f>U41+U46+U50+U53</f>
        <v>0</v>
      </c>
      <c r="V40" s="54">
        <f t="shared" si="4"/>
        <v>7.6999999999999999E-2</v>
      </c>
      <c r="W40" s="2"/>
      <c r="X40" s="2"/>
    </row>
    <row r="41" spans="1:103" ht="57" customHeight="1">
      <c r="A41" s="25" t="s">
        <v>35</v>
      </c>
      <c r="B41" s="55" t="s">
        <v>36</v>
      </c>
      <c r="C41" s="27" t="s">
        <v>12</v>
      </c>
      <c r="D41" s="27" t="s">
        <v>12</v>
      </c>
      <c r="E41" s="27" t="s">
        <v>12</v>
      </c>
      <c r="F41" s="29">
        <f t="shared" si="0"/>
        <v>290709.5</v>
      </c>
      <c r="G41" s="29">
        <f>SUM(G43:G45)</f>
        <v>126963</v>
      </c>
      <c r="H41" s="29">
        <f>SUM(H43:H45)</f>
        <v>163746.5</v>
      </c>
      <c r="I41" s="29">
        <f>SUM(I43:I45)</f>
        <v>0</v>
      </c>
      <c r="J41" s="29">
        <f t="shared" si="36"/>
        <v>178000</v>
      </c>
      <c r="K41" s="29">
        <f>SUM(K43:K45)</f>
        <v>86572.7</v>
      </c>
      <c r="L41" s="29">
        <f>SUM(L43:L45)</f>
        <v>91427.3</v>
      </c>
      <c r="M41" s="29">
        <f>SUM(M43:M45)</f>
        <v>0</v>
      </c>
      <c r="N41" s="29">
        <f t="shared" si="37"/>
        <v>226690.3</v>
      </c>
      <c r="O41" s="29">
        <f>SUM(O43:O45)</f>
        <v>126625.1</v>
      </c>
      <c r="P41" s="29">
        <f>SUM(P43:P45)</f>
        <v>100065.2</v>
      </c>
      <c r="Q41" s="29">
        <f>SUM(Q43:Q45)</f>
        <v>0</v>
      </c>
      <c r="R41" s="29">
        <f t="shared" si="38"/>
        <v>226690.3</v>
      </c>
      <c r="S41" s="29">
        <f>SUM(S43:S45)</f>
        <v>139352.6</v>
      </c>
      <c r="T41" s="29">
        <f>SUM(T43:T45)</f>
        <v>87337.7</v>
      </c>
      <c r="U41" s="29">
        <f>SUM(U43:U45)</f>
        <v>0</v>
      </c>
      <c r="V41" s="41">
        <f t="shared" si="4"/>
        <v>0.61199999999999999</v>
      </c>
      <c r="W41" s="50" t="s">
        <v>353</v>
      </c>
      <c r="X41" s="2"/>
    </row>
    <row r="42" spans="1:103" ht="24" customHeight="1">
      <c r="A42" s="42"/>
      <c r="B42" s="43" t="s">
        <v>15</v>
      </c>
      <c r="C42" s="33"/>
      <c r="D42" s="33"/>
      <c r="E42" s="33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41"/>
      <c r="W42" s="2"/>
      <c r="X42" s="2"/>
    </row>
    <row r="43" spans="1:103" ht="36.75" customHeight="1">
      <c r="A43" s="42"/>
      <c r="B43" s="44" t="s">
        <v>37</v>
      </c>
      <c r="C43" s="37">
        <v>811</v>
      </c>
      <c r="D43" s="38" t="s">
        <v>17</v>
      </c>
      <c r="E43" s="37" t="s">
        <v>213</v>
      </c>
      <c r="F43" s="28">
        <f t="shared" si="0"/>
        <v>40390.300000000003</v>
      </c>
      <c r="G43" s="34">
        <v>40390.300000000003</v>
      </c>
      <c r="H43" s="34"/>
      <c r="I43" s="34"/>
      <c r="J43" s="28">
        <f t="shared" ref="J43:J46" si="39">K43+L43+M43</f>
        <v>0</v>
      </c>
      <c r="K43" s="34"/>
      <c r="L43" s="34"/>
      <c r="M43" s="34"/>
      <c r="N43" s="28">
        <f t="shared" ref="N43:N46" si="40">O43+P43+Q43</f>
        <v>28690.3</v>
      </c>
      <c r="O43" s="34">
        <v>28690.3</v>
      </c>
      <c r="P43" s="34"/>
      <c r="Q43" s="34"/>
      <c r="R43" s="28">
        <f t="shared" ref="R43:R46" si="41">S43+T43+U43</f>
        <v>28690.3</v>
      </c>
      <c r="S43" s="34">
        <v>28690.3</v>
      </c>
      <c r="T43" s="34"/>
      <c r="U43" s="34"/>
      <c r="V43" s="35">
        <f t="shared" si="4"/>
        <v>0</v>
      </c>
      <c r="W43" s="2"/>
      <c r="X43" s="2"/>
    </row>
    <row r="44" spans="1:103" ht="42.75" customHeight="1">
      <c r="A44" s="42"/>
      <c r="B44" s="44" t="s">
        <v>310</v>
      </c>
      <c r="C44" s="37">
        <v>811</v>
      </c>
      <c r="D44" s="38" t="s">
        <v>17</v>
      </c>
      <c r="E44" s="37" t="s">
        <v>152</v>
      </c>
      <c r="F44" s="28">
        <f t="shared" si="0"/>
        <v>178000</v>
      </c>
      <c r="G44" s="34">
        <v>86572.7</v>
      </c>
      <c r="H44" s="34">
        <v>91427.3</v>
      </c>
      <c r="I44" s="34"/>
      <c r="J44" s="28">
        <f t="shared" si="39"/>
        <v>178000</v>
      </c>
      <c r="K44" s="34">
        <f>48636.3+24318.2+13618.2</f>
        <v>86572.7</v>
      </c>
      <c r="L44" s="34">
        <f>77045.5+14381.8</f>
        <v>91427.3</v>
      </c>
      <c r="M44" s="34"/>
      <c r="N44" s="28">
        <f t="shared" si="40"/>
        <v>198000</v>
      </c>
      <c r="O44" s="34">
        <v>97934.8</v>
      </c>
      <c r="P44" s="34">
        <v>100065.2</v>
      </c>
      <c r="Q44" s="34"/>
      <c r="R44" s="28">
        <f t="shared" si="41"/>
        <v>198000</v>
      </c>
      <c r="S44" s="34">
        <v>110662.3</v>
      </c>
      <c r="T44" s="34">
        <v>87337.7</v>
      </c>
      <c r="U44" s="34"/>
      <c r="V44" s="35">
        <f t="shared" si="4"/>
        <v>1</v>
      </c>
      <c r="W44" s="2"/>
      <c r="X44" s="2"/>
    </row>
    <row r="45" spans="1:103" ht="80.25" customHeight="1">
      <c r="A45" s="42"/>
      <c r="B45" s="56" t="s">
        <v>150</v>
      </c>
      <c r="C45" s="37">
        <v>811</v>
      </c>
      <c r="D45" s="38" t="s">
        <v>17</v>
      </c>
      <c r="E45" s="37" t="s">
        <v>151</v>
      </c>
      <c r="F45" s="28">
        <f t="shared" ref="F45:F92" si="42">G45+H45+I45</f>
        <v>72319.199999999997</v>
      </c>
      <c r="G45" s="34"/>
      <c r="H45" s="34">
        <v>72319.199999999997</v>
      </c>
      <c r="I45" s="34"/>
      <c r="J45" s="28">
        <f t="shared" si="39"/>
        <v>0</v>
      </c>
      <c r="K45" s="34"/>
      <c r="L45" s="34"/>
      <c r="M45" s="34"/>
      <c r="N45" s="28">
        <f t="shared" si="40"/>
        <v>0</v>
      </c>
      <c r="O45" s="34"/>
      <c r="P45" s="34"/>
      <c r="Q45" s="34"/>
      <c r="R45" s="28">
        <f t="shared" si="41"/>
        <v>0</v>
      </c>
      <c r="S45" s="34"/>
      <c r="T45" s="34"/>
      <c r="U45" s="34"/>
      <c r="V45" s="35">
        <f t="shared" ref="V45:V92" si="43">J45/F45</f>
        <v>0</v>
      </c>
      <c r="W45" s="2"/>
      <c r="X45" s="2"/>
    </row>
    <row r="46" spans="1:103" ht="33">
      <c r="A46" s="25" t="s">
        <v>38</v>
      </c>
      <c r="B46" s="57" t="s">
        <v>39</v>
      </c>
      <c r="C46" s="27" t="s">
        <v>12</v>
      </c>
      <c r="D46" s="27" t="s">
        <v>12</v>
      </c>
      <c r="E46" s="27" t="s">
        <v>12</v>
      </c>
      <c r="F46" s="28">
        <f t="shared" si="42"/>
        <v>120753.5</v>
      </c>
      <c r="G46" s="29">
        <f>SUM(G48:G49)</f>
        <v>1418.7</v>
      </c>
      <c r="H46" s="29">
        <f>SUM(H48:H49)</f>
        <v>119334.8</v>
      </c>
      <c r="I46" s="29">
        <f>SUM(I48:I49)</f>
        <v>0</v>
      </c>
      <c r="J46" s="28">
        <f t="shared" si="39"/>
        <v>10040.9</v>
      </c>
      <c r="K46" s="29">
        <f>SUM(K48:K49)</f>
        <v>139.6</v>
      </c>
      <c r="L46" s="29">
        <f>SUM(L48:L49)</f>
        <v>9901.2999999999993</v>
      </c>
      <c r="M46" s="29">
        <f>SUM(M48:M49)</f>
        <v>0</v>
      </c>
      <c r="N46" s="28">
        <f t="shared" si="40"/>
        <v>165592.4</v>
      </c>
      <c r="O46" s="29">
        <f>SUM(O48:O49)</f>
        <v>1418.7</v>
      </c>
      <c r="P46" s="29">
        <f>SUM(P48:P49)</f>
        <v>164173.70000000001</v>
      </c>
      <c r="Q46" s="29">
        <f>SUM(Q48:Q49)</f>
        <v>0</v>
      </c>
      <c r="R46" s="28">
        <f t="shared" si="41"/>
        <v>111539.7</v>
      </c>
      <c r="S46" s="29">
        <f>SUM(S48:S49)</f>
        <v>1418.7</v>
      </c>
      <c r="T46" s="29">
        <f>SUM(T48:T49)</f>
        <v>110121</v>
      </c>
      <c r="U46" s="29">
        <f>SUM(U48:U49)</f>
        <v>0</v>
      </c>
      <c r="V46" s="30">
        <f t="shared" si="43"/>
        <v>8.3000000000000004E-2</v>
      </c>
      <c r="W46" s="50" t="s">
        <v>353</v>
      </c>
      <c r="X46" s="2"/>
    </row>
    <row r="47" spans="1:103" ht="18.75">
      <c r="A47" s="42"/>
      <c r="B47" s="43" t="s">
        <v>15</v>
      </c>
      <c r="C47" s="33"/>
      <c r="D47" s="33"/>
      <c r="E47" s="33"/>
      <c r="F47" s="28"/>
      <c r="G47" s="29"/>
      <c r="H47" s="29"/>
      <c r="I47" s="29"/>
      <c r="J47" s="28"/>
      <c r="K47" s="29"/>
      <c r="L47" s="29"/>
      <c r="M47" s="29"/>
      <c r="N47" s="28"/>
      <c r="O47" s="29"/>
      <c r="P47" s="29"/>
      <c r="Q47" s="29"/>
      <c r="R47" s="28"/>
      <c r="S47" s="29"/>
      <c r="T47" s="29"/>
      <c r="U47" s="29"/>
      <c r="V47" s="30"/>
      <c r="W47" s="2"/>
      <c r="X47" s="2"/>
    </row>
    <row r="48" spans="1:103" s="65" customFormat="1" ht="51" customHeight="1">
      <c r="A48" s="58"/>
      <c r="B48" s="59" t="s">
        <v>40</v>
      </c>
      <c r="C48" s="60">
        <v>811</v>
      </c>
      <c r="D48" s="61" t="s">
        <v>17</v>
      </c>
      <c r="E48" s="60" t="s">
        <v>153</v>
      </c>
      <c r="F48" s="62">
        <f t="shared" si="42"/>
        <v>73465.899999999994</v>
      </c>
      <c r="G48" s="63"/>
      <c r="H48" s="63">
        <v>73465.899999999994</v>
      </c>
      <c r="I48" s="63"/>
      <c r="J48" s="62">
        <f t="shared" ref="J48:J49" si="44">K48+L48+M48</f>
        <v>5385.3</v>
      </c>
      <c r="K48" s="63"/>
      <c r="L48" s="63">
        <f>385.3+5000</f>
        <v>5385.3</v>
      </c>
      <c r="M48" s="63"/>
      <c r="N48" s="28">
        <f t="shared" ref="N48:N49" si="45">O48+P48+Q48</f>
        <v>118304.8</v>
      </c>
      <c r="O48" s="63"/>
      <c r="P48" s="63">
        <v>118304.8</v>
      </c>
      <c r="Q48" s="63"/>
      <c r="R48" s="28">
        <f t="shared" ref="R48:R49" si="46">S48+T48+U48</f>
        <v>64252.1</v>
      </c>
      <c r="S48" s="63"/>
      <c r="T48" s="63">
        <v>64252.1</v>
      </c>
      <c r="U48" s="63"/>
      <c r="V48" s="64">
        <f t="shared" si="43"/>
        <v>7.2999999999999995E-2</v>
      </c>
      <c r="W48" s="2"/>
      <c r="X48" s="2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</row>
    <row r="49" spans="1:103" s="65" customFormat="1" ht="75.75" customHeight="1">
      <c r="A49" s="58"/>
      <c r="B49" s="59" t="s">
        <v>155</v>
      </c>
      <c r="C49" s="60">
        <v>811</v>
      </c>
      <c r="D49" s="61" t="s">
        <v>17</v>
      </c>
      <c r="E49" s="60" t="s">
        <v>154</v>
      </c>
      <c r="F49" s="62">
        <f t="shared" si="42"/>
        <v>47287.6</v>
      </c>
      <c r="G49" s="63">
        <v>1418.7</v>
      </c>
      <c r="H49" s="63">
        <v>45868.9</v>
      </c>
      <c r="I49" s="63"/>
      <c r="J49" s="62">
        <f t="shared" si="44"/>
        <v>4655.6000000000004</v>
      </c>
      <c r="K49" s="63">
        <f>2.1+137.5</f>
        <v>139.6</v>
      </c>
      <c r="L49" s="63">
        <f>69.1+4446.9</f>
        <v>4516</v>
      </c>
      <c r="M49" s="63"/>
      <c r="N49" s="28">
        <f t="shared" si="45"/>
        <v>47287.6</v>
      </c>
      <c r="O49" s="63">
        <v>1418.7</v>
      </c>
      <c r="P49" s="63">
        <v>45868.9</v>
      </c>
      <c r="Q49" s="63"/>
      <c r="R49" s="28">
        <f t="shared" si="46"/>
        <v>47287.6</v>
      </c>
      <c r="S49" s="63">
        <v>1418.7</v>
      </c>
      <c r="T49" s="63">
        <v>45868.9</v>
      </c>
      <c r="U49" s="63"/>
      <c r="V49" s="64">
        <f t="shared" si="43"/>
        <v>9.8000000000000004E-2</v>
      </c>
      <c r="W49" s="2"/>
      <c r="X49" s="2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</row>
    <row r="50" spans="1:103" s="9" customFormat="1" ht="68.25" customHeight="1">
      <c r="A50" s="25" t="s">
        <v>41</v>
      </c>
      <c r="B50" s="55" t="s">
        <v>43</v>
      </c>
      <c r="C50" s="27" t="s">
        <v>12</v>
      </c>
      <c r="D50" s="27" t="s">
        <v>12</v>
      </c>
      <c r="E50" s="27" t="s">
        <v>12</v>
      </c>
      <c r="F50" s="28">
        <f t="shared" si="42"/>
        <v>198424.6</v>
      </c>
      <c r="G50" s="29">
        <f>SUM(G52:G52)</f>
        <v>21619.1</v>
      </c>
      <c r="H50" s="29">
        <f>SUM(H52:H52)</f>
        <v>176805.5</v>
      </c>
      <c r="I50" s="29">
        <f>SUM(I52:I52)</f>
        <v>0</v>
      </c>
      <c r="J50" s="28">
        <f t="shared" ref="J50" si="47">K50+L50+M50</f>
        <v>0</v>
      </c>
      <c r="K50" s="29">
        <f>SUM(K52:K52)</f>
        <v>0</v>
      </c>
      <c r="L50" s="29">
        <f>SUM(L52:L52)</f>
        <v>0</v>
      </c>
      <c r="M50" s="29">
        <f>SUM(M52:M52)</f>
        <v>0</v>
      </c>
      <c r="N50" s="28">
        <f t="shared" ref="N50" si="48">O50+P50+Q50</f>
        <v>29782.5</v>
      </c>
      <c r="O50" s="29">
        <f>SUM(O52:O52)</f>
        <v>17790</v>
      </c>
      <c r="P50" s="29">
        <f>SUM(P52:P52)</f>
        <v>11992.5</v>
      </c>
      <c r="Q50" s="29">
        <f>SUM(Q52:Q52)</f>
        <v>0</v>
      </c>
      <c r="R50" s="28">
        <f t="shared" ref="R50" si="49">S50+T50+U50</f>
        <v>26148.3</v>
      </c>
      <c r="S50" s="29">
        <f>SUM(S52:S52)</f>
        <v>17790</v>
      </c>
      <c r="T50" s="29">
        <f>SUM(T52:T52)</f>
        <v>8358.2999999999993</v>
      </c>
      <c r="U50" s="29">
        <f>SUM(U52:U52)</f>
        <v>0</v>
      </c>
      <c r="V50" s="30">
        <f t="shared" si="43"/>
        <v>0</v>
      </c>
      <c r="W50" s="50" t="s">
        <v>353</v>
      </c>
      <c r="X50" s="2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</row>
    <row r="51" spans="1:103" ht="18.75">
      <c r="A51" s="42"/>
      <c r="B51" s="43" t="s">
        <v>15</v>
      </c>
      <c r="C51" s="33"/>
      <c r="D51" s="33"/>
      <c r="E51" s="33"/>
      <c r="F51" s="28"/>
      <c r="G51" s="29"/>
      <c r="H51" s="29"/>
      <c r="I51" s="29"/>
      <c r="J51" s="28"/>
      <c r="K51" s="29"/>
      <c r="L51" s="29"/>
      <c r="M51" s="29"/>
      <c r="N51" s="28"/>
      <c r="O51" s="29"/>
      <c r="P51" s="29"/>
      <c r="Q51" s="29"/>
      <c r="R51" s="28"/>
      <c r="S51" s="29"/>
      <c r="T51" s="29"/>
      <c r="U51" s="29"/>
      <c r="V51" s="30"/>
      <c r="W51" s="2"/>
      <c r="X51" s="2"/>
    </row>
    <row r="52" spans="1:103" ht="73.5" customHeight="1">
      <c r="A52" s="42"/>
      <c r="B52" s="44" t="s">
        <v>44</v>
      </c>
      <c r="C52" s="37">
        <v>811</v>
      </c>
      <c r="D52" s="38" t="s">
        <v>17</v>
      </c>
      <c r="E52" s="37" t="s">
        <v>159</v>
      </c>
      <c r="F52" s="28">
        <f t="shared" si="42"/>
        <v>198424.6</v>
      </c>
      <c r="G52" s="34">
        <f>17790+3829.1</f>
        <v>21619.1</v>
      </c>
      <c r="H52" s="34">
        <f>95494.6+81310.9</f>
        <v>176805.5</v>
      </c>
      <c r="I52" s="34"/>
      <c r="J52" s="28">
        <f t="shared" ref="J52:J53" si="50">K52+L52+M52</f>
        <v>0</v>
      </c>
      <c r="K52" s="34"/>
      <c r="L52" s="34"/>
      <c r="M52" s="34"/>
      <c r="N52" s="28">
        <f t="shared" ref="N52:N53" si="51">O52+P52+Q52</f>
        <v>29782.5</v>
      </c>
      <c r="O52" s="34">
        <v>17790</v>
      </c>
      <c r="P52" s="34">
        <v>11992.5</v>
      </c>
      <c r="Q52" s="34"/>
      <c r="R52" s="28">
        <f t="shared" ref="R52:R53" si="52">S52+T52+U52</f>
        <v>26148.3</v>
      </c>
      <c r="S52" s="34">
        <v>17790</v>
      </c>
      <c r="T52" s="34">
        <v>8358.2999999999993</v>
      </c>
      <c r="U52" s="34"/>
      <c r="V52" s="35">
        <f t="shared" si="43"/>
        <v>0</v>
      </c>
      <c r="W52" s="2"/>
      <c r="X52" s="2"/>
    </row>
    <row r="53" spans="1:103" s="9" customFormat="1" ht="38.25" customHeight="1">
      <c r="A53" s="66" t="s">
        <v>42</v>
      </c>
      <c r="B53" s="57" t="s">
        <v>45</v>
      </c>
      <c r="C53" s="27" t="s">
        <v>12</v>
      </c>
      <c r="D53" s="27" t="s">
        <v>12</v>
      </c>
      <c r="E53" s="27" t="s">
        <v>12</v>
      </c>
      <c r="F53" s="28">
        <f t="shared" si="42"/>
        <v>3294118.7</v>
      </c>
      <c r="G53" s="29">
        <f t="shared" ref="G53:H53" si="53">SUM(G55:G57)</f>
        <v>621976.19999999995</v>
      </c>
      <c r="H53" s="29">
        <f t="shared" si="53"/>
        <v>2672142.5</v>
      </c>
      <c r="I53" s="29">
        <f t="shared" ref="I53" si="54">SUM(I55:I57)</f>
        <v>0</v>
      </c>
      <c r="J53" s="28">
        <f t="shared" si="50"/>
        <v>114378.6</v>
      </c>
      <c r="K53" s="29">
        <f t="shared" ref="K53:M53" si="55">SUM(K55:K57)</f>
        <v>23478.7</v>
      </c>
      <c r="L53" s="29">
        <f t="shared" si="55"/>
        <v>90899.9</v>
      </c>
      <c r="M53" s="29">
        <f t="shared" si="55"/>
        <v>0</v>
      </c>
      <c r="N53" s="28">
        <f t="shared" si="51"/>
        <v>202861.2</v>
      </c>
      <c r="O53" s="29">
        <f t="shared" ref="O53:T53" si="56">SUM(O55:O57)</f>
        <v>0</v>
      </c>
      <c r="P53" s="29">
        <f t="shared" si="56"/>
        <v>202861.2</v>
      </c>
      <c r="Q53" s="29">
        <f t="shared" si="56"/>
        <v>0</v>
      </c>
      <c r="R53" s="28">
        <f t="shared" si="52"/>
        <v>52748.7</v>
      </c>
      <c r="S53" s="29">
        <f t="shared" si="56"/>
        <v>0</v>
      </c>
      <c r="T53" s="29">
        <f t="shared" si="56"/>
        <v>52748.7</v>
      </c>
      <c r="U53" s="29">
        <f t="shared" ref="U53" si="57">SUM(U55:U57)</f>
        <v>0</v>
      </c>
      <c r="V53" s="30">
        <f t="shared" si="43"/>
        <v>3.5000000000000003E-2</v>
      </c>
      <c r="W53" s="31" t="s">
        <v>354</v>
      </c>
      <c r="X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</row>
    <row r="54" spans="1:103" ht="22.5" customHeight="1">
      <c r="A54" s="15"/>
      <c r="B54" s="32" t="s">
        <v>15</v>
      </c>
      <c r="C54" s="67"/>
      <c r="D54" s="67"/>
      <c r="E54" s="67"/>
      <c r="F54" s="28"/>
      <c r="G54" s="29"/>
      <c r="H54" s="29"/>
      <c r="I54" s="29"/>
      <c r="J54" s="28"/>
      <c r="K54" s="29"/>
      <c r="L54" s="29"/>
      <c r="M54" s="29"/>
      <c r="N54" s="28"/>
      <c r="O54" s="29"/>
      <c r="P54" s="29"/>
      <c r="Q54" s="29"/>
      <c r="R54" s="28"/>
      <c r="S54" s="29"/>
      <c r="T54" s="29"/>
      <c r="U54" s="29"/>
      <c r="V54" s="30"/>
      <c r="W54" s="2"/>
      <c r="X54" s="2"/>
    </row>
    <row r="55" spans="1:103" ht="60" customHeight="1">
      <c r="A55" s="12"/>
      <c r="B55" s="36" t="s">
        <v>156</v>
      </c>
      <c r="C55" s="68">
        <v>811</v>
      </c>
      <c r="D55" s="69" t="s">
        <v>17</v>
      </c>
      <c r="E55" s="68" t="s">
        <v>157</v>
      </c>
      <c r="F55" s="28">
        <f t="shared" si="42"/>
        <v>169555.6</v>
      </c>
      <c r="G55" s="34"/>
      <c r="H55" s="34">
        <v>169555.6</v>
      </c>
      <c r="I55" s="34"/>
      <c r="J55" s="28">
        <f t="shared" ref="J55:J59" si="58">K55+L55+M55</f>
        <v>0</v>
      </c>
      <c r="K55" s="34"/>
      <c r="L55" s="34"/>
      <c r="M55" s="34"/>
      <c r="N55" s="28">
        <f t="shared" ref="N55:N59" si="59">O55+P55+Q55</f>
        <v>202861.2</v>
      </c>
      <c r="O55" s="34"/>
      <c r="P55" s="34">
        <v>202861.2</v>
      </c>
      <c r="Q55" s="34"/>
      <c r="R55" s="28">
        <f t="shared" ref="R55:R58" si="60">S55+T55+U55</f>
        <v>52748.7</v>
      </c>
      <c r="S55" s="34"/>
      <c r="T55" s="34">
        <v>52748.7</v>
      </c>
      <c r="U55" s="34"/>
      <c r="V55" s="35">
        <f t="shared" si="43"/>
        <v>0</v>
      </c>
      <c r="W55" s="2"/>
      <c r="X55" s="2"/>
    </row>
    <row r="56" spans="1:103" ht="69" customHeight="1">
      <c r="A56" s="12"/>
      <c r="B56" s="36" t="s">
        <v>326</v>
      </c>
      <c r="C56" s="68">
        <v>821</v>
      </c>
      <c r="D56" s="69" t="s">
        <v>19</v>
      </c>
      <c r="E56" s="68" t="s">
        <v>158</v>
      </c>
      <c r="F56" s="28">
        <f t="shared" si="42"/>
        <v>3124455.9</v>
      </c>
      <c r="G56" s="34">
        <f>498971.2+122897.77</f>
        <v>621869</v>
      </c>
      <c r="H56" s="34">
        <f>1914972+587614.9</f>
        <v>2502586.9</v>
      </c>
      <c r="I56" s="34"/>
      <c r="J56" s="28">
        <f t="shared" si="58"/>
        <v>114326.8</v>
      </c>
      <c r="K56" s="34">
        <f>15655.6+1329.5+6441.8</f>
        <v>23426.9</v>
      </c>
      <c r="L56" s="34">
        <f>60083.6+5102.4+25713.9</f>
        <v>90899.9</v>
      </c>
      <c r="M56" s="34"/>
      <c r="N56" s="28">
        <f t="shared" si="59"/>
        <v>0</v>
      </c>
      <c r="O56" s="34"/>
      <c r="P56" s="34"/>
      <c r="Q56" s="34"/>
      <c r="R56" s="28">
        <f t="shared" si="60"/>
        <v>0</v>
      </c>
      <c r="S56" s="34"/>
      <c r="T56" s="34"/>
      <c r="U56" s="34"/>
      <c r="V56" s="35">
        <f t="shared" si="43"/>
        <v>3.6999999999999998E-2</v>
      </c>
      <c r="W56" s="2"/>
      <c r="X56" s="2"/>
    </row>
    <row r="57" spans="1:103" ht="39" customHeight="1">
      <c r="A57" s="12"/>
      <c r="B57" s="36" t="s">
        <v>295</v>
      </c>
      <c r="C57" s="68">
        <v>821</v>
      </c>
      <c r="D57" s="69" t="s">
        <v>19</v>
      </c>
      <c r="E57" s="68" t="s">
        <v>255</v>
      </c>
      <c r="F57" s="28">
        <f t="shared" si="42"/>
        <v>107.2</v>
      </c>
      <c r="G57" s="34">
        <v>107.2</v>
      </c>
      <c r="H57" s="34"/>
      <c r="I57" s="34"/>
      <c r="J57" s="28">
        <f t="shared" si="58"/>
        <v>51.8</v>
      </c>
      <c r="K57" s="34">
        <v>51.8</v>
      </c>
      <c r="L57" s="34"/>
      <c r="M57" s="34"/>
      <c r="N57" s="28">
        <f t="shared" si="59"/>
        <v>0</v>
      </c>
      <c r="O57" s="34"/>
      <c r="P57" s="34"/>
      <c r="Q57" s="34"/>
      <c r="R57" s="28">
        <f t="shared" si="60"/>
        <v>0</v>
      </c>
      <c r="S57" s="34"/>
      <c r="T57" s="34"/>
      <c r="U57" s="34"/>
      <c r="V57" s="35">
        <f t="shared" si="43"/>
        <v>0.48299999999999998</v>
      </c>
      <c r="W57" s="2"/>
      <c r="X57" s="2"/>
    </row>
    <row r="58" spans="1:103" ht="24" customHeight="1">
      <c r="A58" s="20" t="s">
        <v>46</v>
      </c>
      <c r="B58" s="21" t="s">
        <v>47</v>
      </c>
      <c r="C58" s="52" t="s">
        <v>12</v>
      </c>
      <c r="D58" s="52" t="s">
        <v>12</v>
      </c>
      <c r="E58" s="52" t="s">
        <v>12</v>
      </c>
      <c r="F58" s="53">
        <f t="shared" si="42"/>
        <v>2390577.6</v>
      </c>
      <c r="G58" s="53">
        <f>G59+G70+G78+G86</f>
        <v>1484168.2</v>
      </c>
      <c r="H58" s="53">
        <f>H59+H70+H78+H86</f>
        <v>652322.4</v>
      </c>
      <c r="I58" s="53">
        <f>I59+I70+I78+I86</f>
        <v>254087</v>
      </c>
      <c r="J58" s="53">
        <f t="shared" si="58"/>
        <v>291636</v>
      </c>
      <c r="K58" s="53">
        <f>K59+K70+K78+K86</f>
        <v>159001.1</v>
      </c>
      <c r="L58" s="53">
        <f>L59+L70+L78+L86</f>
        <v>115649.8</v>
      </c>
      <c r="M58" s="53">
        <f>M59+M70+M78+M86</f>
        <v>16985.099999999999</v>
      </c>
      <c r="N58" s="53">
        <f t="shared" si="59"/>
        <v>1303769.5</v>
      </c>
      <c r="O58" s="53">
        <f>O59+O70+O78+O86</f>
        <v>830892.5</v>
      </c>
      <c r="P58" s="53">
        <f>P59+P70+P78+P86</f>
        <v>472877</v>
      </c>
      <c r="Q58" s="53">
        <f>Q59+Q70+Q78+Q86</f>
        <v>0</v>
      </c>
      <c r="R58" s="53">
        <f t="shared" si="60"/>
        <v>670852.4</v>
      </c>
      <c r="S58" s="53">
        <f>S59+S70+S78+S86</f>
        <v>307419.40000000002</v>
      </c>
      <c r="T58" s="53">
        <f>T59+T70+T78+T86</f>
        <v>363433</v>
      </c>
      <c r="U58" s="53">
        <f>U59+U70+U78+U86</f>
        <v>0</v>
      </c>
      <c r="V58" s="54">
        <f t="shared" si="43"/>
        <v>0.122</v>
      </c>
      <c r="W58" s="31"/>
      <c r="X58" s="2"/>
    </row>
    <row r="59" spans="1:103" ht="52.5" customHeight="1">
      <c r="A59" s="12" t="s">
        <v>48</v>
      </c>
      <c r="B59" s="57" t="s">
        <v>49</v>
      </c>
      <c r="C59" s="70" t="s">
        <v>12</v>
      </c>
      <c r="D59" s="70" t="s">
        <v>12</v>
      </c>
      <c r="E59" s="70" t="s">
        <v>12</v>
      </c>
      <c r="F59" s="29">
        <f t="shared" si="42"/>
        <v>2006646.3</v>
      </c>
      <c r="G59" s="29">
        <f>SUM(G61:G69)</f>
        <v>1345421.4</v>
      </c>
      <c r="H59" s="29">
        <f>SUM(H61:H69)</f>
        <v>409341</v>
      </c>
      <c r="I59" s="29">
        <f>SUM(I61:I69)</f>
        <v>251883.9</v>
      </c>
      <c r="J59" s="29">
        <f t="shared" si="58"/>
        <v>113657.8</v>
      </c>
      <c r="K59" s="29">
        <f>SUM(K61:K69)</f>
        <v>63696</v>
      </c>
      <c r="L59" s="29">
        <f t="shared" ref="L59:M59" si="61">SUM(L61:L69)</f>
        <v>33144.6</v>
      </c>
      <c r="M59" s="29">
        <f t="shared" si="61"/>
        <v>16817.2</v>
      </c>
      <c r="N59" s="28">
        <f t="shared" si="59"/>
        <v>1072416</v>
      </c>
      <c r="O59" s="29">
        <f>SUM(O61:O66)</f>
        <v>716668.4</v>
      </c>
      <c r="P59" s="29">
        <f>SUM(P61:P69)</f>
        <v>355747.6</v>
      </c>
      <c r="Q59" s="29">
        <f t="shared" ref="Q59:R59" si="62">SUM(Q61:Q69)</f>
        <v>0</v>
      </c>
      <c r="R59" s="29">
        <f t="shared" si="62"/>
        <v>98222.399999999994</v>
      </c>
      <c r="S59" s="29">
        <f>SUM(S61:S66)</f>
        <v>40038.800000000003</v>
      </c>
      <c r="T59" s="29">
        <f>SUM(T61:T69)</f>
        <v>58183.6</v>
      </c>
      <c r="U59" s="29">
        <f>SUM(U61:U69)</f>
        <v>0</v>
      </c>
      <c r="V59" s="41">
        <f t="shared" si="43"/>
        <v>5.7000000000000002E-2</v>
      </c>
      <c r="W59" s="31" t="s">
        <v>355</v>
      </c>
      <c r="X59" s="2"/>
    </row>
    <row r="60" spans="1:103" ht="18.75">
      <c r="A60" s="42"/>
      <c r="B60" s="43" t="s">
        <v>15</v>
      </c>
      <c r="C60" s="33"/>
      <c r="D60" s="33"/>
      <c r="E60" s="33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41"/>
      <c r="W60" s="2"/>
      <c r="X60" s="2"/>
    </row>
    <row r="61" spans="1:103" ht="82.5" customHeight="1">
      <c r="A61" s="42"/>
      <c r="B61" s="44" t="s">
        <v>311</v>
      </c>
      <c r="C61" s="37">
        <v>815</v>
      </c>
      <c r="D61" s="38" t="s">
        <v>50</v>
      </c>
      <c r="E61" s="71" t="s">
        <v>167</v>
      </c>
      <c r="F61" s="28">
        <f t="shared" si="42"/>
        <v>37649.699999999997</v>
      </c>
      <c r="G61" s="34">
        <v>1129.5</v>
      </c>
      <c r="H61" s="34">
        <v>36520.199999999997</v>
      </c>
      <c r="I61" s="34"/>
      <c r="J61" s="28">
        <f t="shared" ref="J61:J70" si="63">K61+L61+M61</f>
        <v>1053.3</v>
      </c>
      <c r="K61" s="34">
        <f>0.7+30.9</f>
        <v>31.6</v>
      </c>
      <c r="L61" s="34">
        <f>23.8+997.9</f>
        <v>1021.7</v>
      </c>
      <c r="M61" s="34"/>
      <c r="N61" s="28">
        <f t="shared" ref="N61:N70" si="64">O61+P61+Q61</f>
        <v>43468.800000000003</v>
      </c>
      <c r="O61" s="34">
        <v>5426.7</v>
      </c>
      <c r="P61" s="34">
        <v>38042.1</v>
      </c>
      <c r="Q61" s="34"/>
      <c r="R61" s="28">
        <f t="shared" ref="R61:R70" si="65">S61+T61+U61</f>
        <v>41948.7</v>
      </c>
      <c r="S61" s="34">
        <v>5433.9</v>
      </c>
      <c r="T61" s="34">
        <v>36514.800000000003</v>
      </c>
      <c r="U61" s="34"/>
      <c r="V61" s="35">
        <f t="shared" si="43"/>
        <v>2.8000000000000001E-2</v>
      </c>
      <c r="W61" s="2"/>
      <c r="X61" s="2"/>
    </row>
    <row r="62" spans="1:103" ht="83.25" customHeight="1">
      <c r="A62" s="42"/>
      <c r="B62" s="44" t="s">
        <v>284</v>
      </c>
      <c r="C62" s="37">
        <v>815</v>
      </c>
      <c r="D62" s="38" t="s">
        <v>50</v>
      </c>
      <c r="E62" s="71" t="s">
        <v>285</v>
      </c>
      <c r="F62" s="28">
        <f t="shared" si="42"/>
        <v>30705.8</v>
      </c>
      <c r="G62" s="34">
        <v>20011.599999999999</v>
      </c>
      <c r="H62" s="34">
        <v>10694.2</v>
      </c>
      <c r="I62" s="34"/>
      <c r="J62" s="28">
        <f t="shared" si="63"/>
        <v>7827.1</v>
      </c>
      <c r="K62" s="34">
        <f>3468+1775.4+2139.2</f>
        <v>7382.6</v>
      </c>
      <c r="L62" s="34">
        <v>444.5</v>
      </c>
      <c r="M62" s="34"/>
      <c r="N62" s="28">
        <f t="shared" si="64"/>
        <v>22920.5</v>
      </c>
      <c r="O62" s="34">
        <v>22920.5</v>
      </c>
      <c r="P62" s="34"/>
      <c r="Q62" s="34"/>
      <c r="R62" s="28">
        <f t="shared" si="65"/>
        <v>24056.9</v>
      </c>
      <c r="S62" s="34">
        <v>24056.9</v>
      </c>
      <c r="T62" s="34"/>
      <c r="U62" s="34"/>
      <c r="V62" s="35">
        <f t="shared" si="43"/>
        <v>0.255</v>
      </c>
      <c r="W62" s="2"/>
      <c r="X62" s="2"/>
    </row>
    <row r="63" spans="1:103" ht="70.5" customHeight="1">
      <c r="A63" s="42"/>
      <c r="B63" s="44" t="s">
        <v>282</v>
      </c>
      <c r="C63" s="37">
        <v>821</v>
      </c>
      <c r="D63" s="38" t="s">
        <v>19</v>
      </c>
      <c r="E63" s="71" t="s">
        <v>283</v>
      </c>
      <c r="F63" s="28">
        <f t="shared" si="42"/>
        <v>18800</v>
      </c>
      <c r="G63" s="34">
        <f>15900-2400</f>
        <v>13500</v>
      </c>
      <c r="H63" s="34"/>
      <c r="I63" s="34">
        <v>5300</v>
      </c>
      <c r="J63" s="28">
        <f t="shared" si="63"/>
        <v>18000</v>
      </c>
      <c r="K63" s="34">
        <v>13500</v>
      </c>
      <c r="L63" s="34"/>
      <c r="M63" s="34">
        <v>4500</v>
      </c>
      <c r="N63" s="28">
        <f t="shared" si="64"/>
        <v>0</v>
      </c>
      <c r="O63" s="34"/>
      <c r="P63" s="34"/>
      <c r="Q63" s="34"/>
      <c r="R63" s="28">
        <f t="shared" si="65"/>
        <v>0</v>
      </c>
      <c r="S63" s="34"/>
      <c r="T63" s="34"/>
      <c r="U63" s="34"/>
      <c r="V63" s="35">
        <f t="shared" si="43"/>
        <v>0.95699999999999996</v>
      </c>
      <c r="W63" s="2"/>
      <c r="X63" s="2"/>
    </row>
    <row r="64" spans="1:103" ht="77.25" customHeight="1">
      <c r="A64" s="42"/>
      <c r="B64" s="44" t="s">
        <v>168</v>
      </c>
      <c r="C64" s="37">
        <v>815</v>
      </c>
      <c r="D64" s="38" t="s">
        <v>50</v>
      </c>
      <c r="E64" s="71" t="s">
        <v>169</v>
      </c>
      <c r="F64" s="28">
        <f t="shared" si="42"/>
        <v>20574.099999999999</v>
      </c>
      <c r="G64" s="34">
        <v>6303.9</v>
      </c>
      <c r="H64" s="34">
        <v>14270.2</v>
      </c>
      <c r="I64" s="34">
        <v>0</v>
      </c>
      <c r="J64" s="28">
        <f t="shared" si="63"/>
        <v>7334.6</v>
      </c>
      <c r="K64" s="34">
        <f>916.5+1047.8</f>
        <v>1964.3</v>
      </c>
      <c r="L64" s="34">
        <v>5370.3</v>
      </c>
      <c r="M64" s="34">
        <v>0</v>
      </c>
      <c r="N64" s="28">
        <f t="shared" si="64"/>
        <v>15899.6</v>
      </c>
      <c r="O64" s="34">
        <v>477</v>
      </c>
      <c r="P64" s="34">
        <v>15422.6</v>
      </c>
      <c r="Q64" s="34"/>
      <c r="R64" s="28">
        <f t="shared" si="65"/>
        <v>32216.799999999999</v>
      </c>
      <c r="S64" s="34">
        <v>10548</v>
      </c>
      <c r="T64" s="34">
        <v>21668.799999999999</v>
      </c>
      <c r="U64" s="34"/>
      <c r="V64" s="35">
        <f>J64/F64</f>
        <v>0.35599999999999998</v>
      </c>
      <c r="W64" s="2"/>
      <c r="X64" s="2"/>
    </row>
    <row r="65" spans="1:24" ht="39" customHeight="1">
      <c r="A65" s="42"/>
      <c r="B65" s="44" t="s">
        <v>137</v>
      </c>
      <c r="C65" s="37">
        <v>821</v>
      </c>
      <c r="D65" s="38" t="s">
        <v>19</v>
      </c>
      <c r="E65" s="71" t="s">
        <v>170</v>
      </c>
      <c r="F65" s="28">
        <f t="shared" si="42"/>
        <v>0</v>
      </c>
      <c r="G65" s="34"/>
      <c r="H65" s="34"/>
      <c r="I65" s="34"/>
      <c r="J65" s="28">
        <f t="shared" si="63"/>
        <v>0</v>
      </c>
      <c r="K65" s="34"/>
      <c r="L65" s="34"/>
      <c r="M65" s="34"/>
      <c r="N65" s="28">
        <f t="shared" si="64"/>
        <v>990127.1</v>
      </c>
      <c r="O65" s="34">
        <v>687844.2</v>
      </c>
      <c r="P65" s="34">
        <v>302282.90000000002</v>
      </c>
      <c r="Q65" s="34"/>
      <c r="R65" s="28">
        <f t="shared" si="65"/>
        <v>0</v>
      </c>
      <c r="S65" s="34"/>
      <c r="T65" s="34"/>
      <c r="U65" s="34"/>
      <c r="V65" s="35"/>
      <c r="W65" s="2"/>
      <c r="X65" s="2"/>
    </row>
    <row r="66" spans="1:24" ht="36" customHeight="1">
      <c r="A66" s="42"/>
      <c r="B66" s="44" t="s">
        <v>137</v>
      </c>
      <c r="C66" s="37">
        <v>815</v>
      </c>
      <c r="D66" s="38" t="s">
        <v>50</v>
      </c>
      <c r="E66" s="71" t="s">
        <v>170</v>
      </c>
      <c r="F66" s="28">
        <f t="shared" si="42"/>
        <v>1601770.7</v>
      </c>
      <c r="G66" s="34">
        <f>150670.7+1147189.9</f>
        <v>1297860.6000000001</v>
      </c>
      <c r="H66" s="34">
        <v>303910.09999999998</v>
      </c>
      <c r="I66" s="34"/>
      <c r="J66" s="28">
        <f t="shared" si="63"/>
        <v>40003.800000000003</v>
      </c>
      <c r="K66" s="34">
        <f>751.7+39252.1</f>
        <v>40003.800000000003</v>
      </c>
      <c r="L66" s="34"/>
      <c r="M66" s="34"/>
      <c r="N66" s="28">
        <f t="shared" si="64"/>
        <v>0</v>
      </c>
      <c r="O66" s="34"/>
      <c r="P66" s="34"/>
      <c r="Q66" s="34"/>
      <c r="R66" s="28">
        <f t="shared" si="65"/>
        <v>0</v>
      </c>
      <c r="S66" s="34"/>
      <c r="T66" s="34"/>
      <c r="U66" s="34"/>
      <c r="V66" s="35">
        <f t="shared" si="43"/>
        <v>2.5000000000000001E-2</v>
      </c>
      <c r="W66" s="2"/>
      <c r="X66" s="2"/>
    </row>
    <row r="67" spans="1:24" ht="45.75" customHeight="1">
      <c r="A67" s="42"/>
      <c r="B67" s="44" t="s">
        <v>137</v>
      </c>
      <c r="C67" s="37">
        <v>815</v>
      </c>
      <c r="D67" s="38" t="s">
        <v>50</v>
      </c>
      <c r="E67" s="71" t="s">
        <v>341</v>
      </c>
      <c r="F67" s="28">
        <f t="shared" ref="F67" si="66">G67+H67+I67</f>
        <v>180</v>
      </c>
      <c r="G67" s="34">
        <v>180</v>
      </c>
      <c r="H67" s="34"/>
      <c r="I67" s="34"/>
      <c r="J67" s="28">
        <f t="shared" ref="J67" si="67">K67+L67+M67</f>
        <v>0</v>
      </c>
      <c r="K67" s="34"/>
      <c r="L67" s="34"/>
      <c r="M67" s="34"/>
      <c r="N67" s="28">
        <f t="shared" ref="N67" si="68">O67+P67+Q67</f>
        <v>0</v>
      </c>
      <c r="O67" s="34"/>
      <c r="P67" s="34"/>
      <c r="Q67" s="34"/>
      <c r="R67" s="28">
        <f t="shared" ref="R67" si="69">S67+T67+U67</f>
        <v>0</v>
      </c>
      <c r="S67" s="34"/>
      <c r="T67" s="34"/>
      <c r="U67" s="34"/>
      <c r="V67" s="35">
        <f t="shared" ref="V67" si="70">J67/F67</f>
        <v>0</v>
      </c>
      <c r="W67" s="2"/>
      <c r="X67" s="2"/>
    </row>
    <row r="68" spans="1:24" ht="53.25" customHeight="1">
      <c r="A68" s="42"/>
      <c r="B68" s="44" t="s">
        <v>329</v>
      </c>
      <c r="C68" s="37">
        <v>821</v>
      </c>
      <c r="D68" s="38" t="s">
        <v>19</v>
      </c>
      <c r="E68" s="71" t="s">
        <v>328</v>
      </c>
      <c r="F68" s="28">
        <f t="shared" ref="F68" si="71">G68+H68+I68</f>
        <v>291884.3</v>
      </c>
      <c r="G68" s="34">
        <v>1359.2</v>
      </c>
      <c r="H68" s="34">
        <v>43946.3</v>
      </c>
      <c r="I68" s="34">
        <v>246578.8</v>
      </c>
      <c r="J68" s="28">
        <f t="shared" ref="J68" si="72">K68+L68+M68</f>
        <v>39439</v>
      </c>
      <c r="K68" s="34">
        <f>290.6+130.8+165+227.3</f>
        <v>813.7</v>
      </c>
      <c r="L68" s="34">
        <f>9396.2+4227.8+5335.8+7348.3</f>
        <v>26308.1</v>
      </c>
      <c r="M68" s="34">
        <v>12317.2</v>
      </c>
      <c r="N68" s="28">
        <f t="shared" ref="N68" si="73">O68+P68+Q68</f>
        <v>0</v>
      </c>
      <c r="O68" s="34"/>
      <c r="P68" s="34"/>
      <c r="Q68" s="34"/>
      <c r="R68" s="28">
        <f t="shared" ref="R68" si="74">S68+T68+U68</f>
        <v>0</v>
      </c>
      <c r="S68" s="34"/>
      <c r="T68" s="34"/>
      <c r="U68" s="34"/>
      <c r="V68" s="35">
        <f t="shared" ref="V68" si="75">J68/F68</f>
        <v>0.13500000000000001</v>
      </c>
      <c r="W68" s="2"/>
      <c r="X68" s="2"/>
    </row>
    <row r="69" spans="1:24" ht="53.25" customHeight="1">
      <c r="A69" s="42"/>
      <c r="B69" s="44" t="s">
        <v>329</v>
      </c>
      <c r="C69" s="37">
        <v>821</v>
      </c>
      <c r="D69" s="38" t="s">
        <v>19</v>
      </c>
      <c r="E69" s="71" t="s">
        <v>330</v>
      </c>
      <c r="F69" s="28">
        <f t="shared" ref="F69" si="76">G69+H69+I69</f>
        <v>5081.7</v>
      </c>
      <c r="G69" s="34">
        <v>5076.6000000000004</v>
      </c>
      <c r="H69" s="34"/>
      <c r="I69" s="34">
        <v>5.0999999999999996</v>
      </c>
      <c r="J69" s="28">
        <f t="shared" ref="J69" si="77">K69+L69+M69</f>
        <v>0</v>
      </c>
      <c r="K69" s="34"/>
      <c r="L69" s="34"/>
      <c r="M69" s="34">
        <v>0</v>
      </c>
      <c r="N69" s="28">
        <f t="shared" ref="N69" si="78">O69+P69+Q69</f>
        <v>0</v>
      </c>
      <c r="O69" s="34"/>
      <c r="P69" s="34"/>
      <c r="Q69" s="34"/>
      <c r="R69" s="28">
        <f t="shared" ref="R69" si="79">S69+T69+U69</f>
        <v>0</v>
      </c>
      <c r="S69" s="34"/>
      <c r="T69" s="34"/>
      <c r="U69" s="34"/>
      <c r="V69" s="35">
        <f t="shared" ref="V69" si="80">J69/F69</f>
        <v>0</v>
      </c>
      <c r="W69" s="2"/>
      <c r="X69" s="2"/>
    </row>
    <row r="70" spans="1:24" ht="56.25" customHeight="1">
      <c r="A70" s="25" t="s">
        <v>51</v>
      </c>
      <c r="B70" s="57" t="s">
        <v>52</v>
      </c>
      <c r="C70" s="27" t="s">
        <v>12</v>
      </c>
      <c r="D70" s="27" t="s">
        <v>12</v>
      </c>
      <c r="E70" s="27" t="s">
        <v>12</v>
      </c>
      <c r="F70" s="28">
        <f t="shared" si="42"/>
        <v>192771.4</v>
      </c>
      <c r="G70" s="29">
        <f t="shared" ref="G70:H70" si="81">SUM(G72:G77)</f>
        <v>37703.5</v>
      </c>
      <c r="H70" s="29">
        <f t="shared" si="81"/>
        <v>155067.9</v>
      </c>
      <c r="I70" s="29">
        <f t="shared" ref="I70" si="82">SUM(I72:I77)</f>
        <v>0</v>
      </c>
      <c r="J70" s="28">
        <f t="shared" si="63"/>
        <v>44452.6</v>
      </c>
      <c r="K70" s="29">
        <f t="shared" ref="K70:M70" si="83">SUM(K72:K77)</f>
        <v>30746.1</v>
      </c>
      <c r="L70" s="29">
        <f t="shared" si="83"/>
        <v>13706.5</v>
      </c>
      <c r="M70" s="29">
        <f t="shared" si="83"/>
        <v>0</v>
      </c>
      <c r="N70" s="28">
        <f t="shared" si="64"/>
        <v>146020</v>
      </c>
      <c r="O70" s="29">
        <f t="shared" ref="O70:T70" si="84">SUM(O72:O77)</f>
        <v>36887.300000000003</v>
      </c>
      <c r="P70" s="29">
        <f t="shared" si="84"/>
        <v>109132.7</v>
      </c>
      <c r="Q70" s="29">
        <f t="shared" si="84"/>
        <v>0</v>
      </c>
      <c r="R70" s="28">
        <f t="shared" si="65"/>
        <v>155515.79999999999</v>
      </c>
      <c r="S70" s="29">
        <f t="shared" si="84"/>
        <v>49342.2</v>
      </c>
      <c r="T70" s="29">
        <f t="shared" si="84"/>
        <v>106173.6</v>
      </c>
      <c r="U70" s="29">
        <f t="shared" ref="U70" si="85">SUM(U72:U77)</f>
        <v>0</v>
      </c>
      <c r="V70" s="30">
        <f t="shared" si="43"/>
        <v>0.23100000000000001</v>
      </c>
      <c r="W70" s="31" t="s">
        <v>356</v>
      </c>
      <c r="X70" s="2"/>
    </row>
    <row r="71" spans="1:24" ht="18.75">
      <c r="A71" s="42"/>
      <c r="B71" s="43" t="s">
        <v>15</v>
      </c>
      <c r="C71" s="33"/>
      <c r="D71" s="33"/>
      <c r="E71" s="33"/>
      <c r="F71" s="28"/>
      <c r="G71" s="29"/>
      <c r="H71" s="29"/>
      <c r="I71" s="29"/>
      <c r="J71" s="28"/>
      <c r="K71" s="29"/>
      <c r="L71" s="29"/>
      <c r="M71" s="29"/>
      <c r="N71" s="28"/>
      <c r="O71" s="29"/>
      <c r="P71" s="29"/>
      <c r="Q71" s="29"/>
      <c r="R71" s="28"/>
      <c r="S71" s="29"/>
      <c r="T71" s="29"/>
      <c r="U71" s="29"/>
      <c r="V71" s="30"/>
      <c r="W71" s="2"/>
      <c r="X71" s="2"/>
    </row>
    <row r="72" spans="1:24" ht="55.5" customHeight="1">
      <c r="A72" s="42"/>
      <c r="B72" s="44" t="s">
        <v>312</v>
      </c>
      <c r="C72" s="37">
        <v>815</v>
      </c>
      <c r="D72" s="38" t="s">
        <v>50</v>
      </c>
      <c r="E72" s="71" t="s">
        <v>177</v>
      </c>
      <c r="F72" s="28">
        <f t="shared" si="42"/>
        <v>131069.2</v>
      </c>
      <c r="G72" s="34">
        <v>3932.1</v>
      </c>
      <c r="H72" s="34">
        <v>127137.1</v>
      </c>
      <c r="I72" s="34"/>
      <c r="J72" s="28">
        <f t="shared" ref="J72:J78" si="86">K72+L72+M72</f>
        <v>1184</v>
      </c>
      <c r="K72" s="34">
        <f>25.6+9.9</f>
        <v>35.5</v>
      </c>
      <c r="L72" s="34">
        <f>828.4+320.1</f>
        <v>1148.5</v>
      </c>
      <c r="M72" s="34"/>
      <c r="N72" s="28">
        <f t="shared" ref="N72:N78" si="87">O72+P72+Q72</f>
        <v>83973.6</v>
      </c>
      <c r="O72" s="34">
        <v>2519.1999999999998</v>
      </c>
      <c r="P72" s="34">
        <v>81454.399999999994</v>
      </c>
      <c r="Q72" s="34"/>
      <c r="R72" s="28">
        <f t="shared" ref="R72:R78" si="88">S72+T72+U72</f>
        <v>98511.5</v>
      </c>
      <c r="S72" s="34">
        <v>2955.3</v>
      </c>
      <c r="T72" s="34">
        <v>95556.2</v>
      </c>
      <c r="U72" s="34"/>
      <c r="V72" s="35">
        <f t="shared" si="43"/>
        <v>8.9999999999999993E-3</v>
      </c>
      <c r="W72" s="2"/>
      <c r="X72" s="2"/>
    </row>
    <row r="73" spans="1:24" ht="55.5" customHeight="1">
      <c r="A73" s="42"/>
      <c r="B73" s="44" t="s">
        <v>54</v>
      </c>
      <c r="C73" s="37">
        <v>815</v>
      </c>
      <c r="D73" s="38" t="s">
        <v>50</v>
      </c>
      <c r="E73" s="71" t="s">
        <v>221</v>
      </c>
      <c r="F73" s="28">
        <f t="shared" si="42"/>
        <v>474.8</v>
      </c>
      <c r="G73" s="34">
        <v>474.8</v>
      </c>
      <c r="H73" s="34"/>
      <c r="I73" s="34"/>
      <c r="J73" s="28">
        <f t="shared" si="86"/>
        <v>319.10000000000002</v>
      </c>
      <c r="K73" s="34">
        <f>30.4+30+171.4+87.3</f>
        <v>319.10000000000002</v>
      </c>
      <c r="L73" s="34"/>
      <c r="M73" s="34"/>
      <c r="N73" s="28">
        <f t="shared" si="87"/>
        <v>547.20000000000005</v>
      </c>
      <c r="O73" s="34">
        <v>547.20000000000005</v>
      </c>
      <c r="P73" s="34"/>
      <c r="Q73" s="34"/>
      <c r="R73" s="28">
        <f t="shared" si="88"/>
        <v>864.6</v>
      </c>
      <c r="S73" s="34">
        <v>864.6</v>
      </c>
      <c r="T73" s="34"/>
      <c r="U73" s="34"/>
      <c r="V73" s="35">
        <f t="shared" si="43"/>
        <v>0.67200000000000004</v>
      </c>
      <c r="W73" s="2"/>
      <c r="X73" s="2"/>
    </row>
    <row r="74" spans="1:24" ht="55.5" customHeight="1">
      <c r="A74" s="42"/>
      <c r="B74" s="44" t="s">
        <v>312</v>
      </c>
      <c r="C74" s="37">
        <v>816</v>
      </c>
      <c r="D74" s="38" t="s">
        <v>53</v>
      </c>
      <c r="E74" s="71" t="s">
        <v>177</v>
      </c>
      <c r="F74" s="28">
        <f t="shared" si="42"/>
        <v>17096</v>
      </c>
      <c r="G74" s="34">
        <v>512.9</v>
      </c>
      <c r="H74" s="34">
        <v>16583.099999999999</v>
      </c>
      <c r="I74" s="34"/>
      <c r="J74" s="28">
        <f t="shared" si="86"/>
        <v>1248.7</v>
      </c>
      <c r="K74" s="34">
        <f>8+29.5</f>
        <v>37.5</v>
      </c>
      <c r="L74" s="34">
        <f>257.9+953.3</f>
        <v>1211.2</v>
      </c>
      <c r="M74" s="34"/>
      <c r="N74" s="28">
        <f t="shared" si="87"/>
        <v>11090.8</v>
      </c>
      <c r="O74" s="34">
        <v>332.7</v>
      </c>
      <c r="P74" s="34">
        <v>10758.1</v>
      </c>
      <c r="Q74" s="34"/>
      <c r="R74" s="28">
        <f t="shared" si="88"/>
        <v>10945.8</v>
      </c>
      <c r="S74" s="34">
        <v>328.4</v>
      </c>
      <c r="T74" s="34">
        <v>10617.4</v>
      </c>
      <c r="U74" s="34"/>
      <c r="V74" s="35">
        <f t="shared" si="43"/>
        <v>7.2999999999999995E-2</v>
      </c>
      <c r="W74" s="2"/>
      <c r="X74" s="2"/>
    </row>
    <row r="75" spans="1:24" ht="33">
      <c r="A75" s="42"/>
      <c r="B75" s="44" t="s">
        <v>178</v>
      </c>
      <c r="C75" s="37">
        <v>815</v>
      </c>
      <c r="D75" s="38" t="s">
        <v>50</v>
      </c>
      <c r="E75" s="71" t="s">
        <v>179</v>
      </c>
      <c r="F75" s="28">
        <f t="shared" si="42"/>
        <v>11698.7</v>
      </c>
      <c r="G75" s="34">
        <v>351</v>
      </c>
      <c r="H75" s="34">
        <v>11347.7</v>
      </c>
      <c r="I75" s="34"/>
      <c r="J75" s="28">
        <f t="shared" si="86"/>
        <v>11697.7</v>
      </c>
      <c r="K75" s="34">
        <f>23.4+327.5</f>
        <v>350.9</v>
      </c>
      <c r="L75" s="34">
        <f>757.5+10589.3</f>
        <v>11346.8</v>
      </c>
      <c r="M75" s="34"/>
      <c r="N75" s="28">
        <f t="shared" si="87"/>
        <v>17443.5</v>
      </c>
      <c r="O75" s="34">
        <v>523.29999999999995</v>
      </c>
      <c r="P75" s="34">
        <v>16920.2</v>
      </c>
      <c r="Q75" s="34"/>
      <c r="R75" s="28">
        <f t="shared" si="88"/>
        <v>0</v>
      </c>
      <c r="S75" s="34"/>
      <c r="T75" s="34"/>
      <c r="U75" s="34"/>
      <c r="V75" s="35">
        <f t="shared" si="43"/>
        <v>1</v>
      </c>
      <c r="W75" s="2"/>
      <c r="X75" s="2"/>
    </row>
    <row r="76" spans="1:24" ht="53.25" customHeight="1">
      <c r="A76" s="42"/>
      <c r="B76" s="44" t="s">
        <v>247</v>
      </c>
      <c r="C76" s="37">
        <v>815</v>
      </c>
      <c r="D76" s="38" t="s">
        <v>50</v>
      </c>
      <c r="E76" s="42" t="s">
        <v>248</v>
      </c>
      <c r="F76" s="28">
        <f t="shared" si="42"/>
        <v>29458.1</v>
      </c>
      <c r="G76" s="34">
        <v>29458.1</v>
      </c>
      <c r="H76" s="34"/>
      <c r="I76" s="34"/>
      <c r="J76" s="28">
        <f t="shared" si="86"/>
        <v>27028.5</v>
      </c>
      <c r="K76" s="34">
        <f>14726.4+1577+2174.7+8550.4</f>
        <v>27028.5</v>
      </c>
      <c r="L76" s="34"/>
      <c r="M76" s="34"/>
      <c r="N76" s="28">
        <f t="shared" si="87"/>
        <v>29315.7</v>
      </c>
      <c r="O76" s="34">
        <v>29315.7</v>
      </c>
      <c r="P76" s="34"/>
      <c r="Q76" s="34"/>
      <c r="R76" s="28">
        <f t="shared" si="88"/>
        <v>40803.4</v>
      </c>
      <c r="S76" s="34">
        <v>40803.4</v>
      </c>
      <c r="T76" s="34"/>
      <c r="U76" s="34"/>
      <c r="V76" s="35">
        <f t="shared" si="43"/>
        <v>0.91800000000000004</v>
      </c>
      <c r="W76" s="2"/>
      <c r="X76" s="2"/>
    </row>
    <row r="77" spans="1:24" ht="53.25" customHeight="1">
      <c r="A77" s="42"/>
      <c r="B77" s="44" t="s">
        <v>55</v>
      </c>
      <c r="C77" s="37">
        <v>816</v>
      </c>
      <c r="D77" s="38" t="s">
        <v>53</v>
      </c>
      <c r="E77" s="71" t="s">
        <v>231</v>
      </c>
      <c r="F77" s="28">
        <f t="shared" si="42"/>
        <v>2974.6</v>
      </c>
      <c r="G77" s="34">
        <f>3194.1-219.5</f>
        <v>2974.6</v>
      </c>
      <c r="H77" s="34"/>
      <c r="I77" s="34"/>
      <c r="J77" s="28">
        <f t="shared" si="86"/>
        <v>2974.6</v>
      </c>
      <c r="K77" s="34">
        <f>1561.8+1421.8-9</f>
        <v>2974.6</v>
      </c>
      <c r="L77" s="34"/>
      <c r="M77" s="34"/>
      <c r="N77" s="28">
        <f t="shared" si="87"/>
        <v>3649.2</v>
      </c>
      <c r="O77" s="34">
        <v>3649.2</v>
      </c>
      <c r="P77" s="34"/>
      <c r="Q77" s="34"/>
      <c r="R77" s="28">
        <f t="shared" si="88"/>
        <v>4390.5</v>
      </c>
      <c r="S77" s="34">
        <v>4390.5</v>
      </c>
      <c r="T77" s="34"/>
      <c r="U77" s="34"/>
      <c r="V77" s="35">
        <f t="shared" si="43"/>
        <v>1</v>
      </c>
      <c r="W77" s="2"/>
      <c r="X77" s="2"/>
    </row>
    <row r="78" spans="1:24" ht="46.5" customHeight="1">
      <c r="A78" s="12" t="s">
        <v>56</v>
      </c>
      <c r="B78" s="26" t="s">
        <v>57</v>
      </c>
      <c r="C78" s="40" t="s">
        <v>12</v>
      </c>
      <c r="D78" s="40" t="s">
        <v>12</v>
      </c>
      <c r="E78" s="40" t="s">
        <v>12</v>
      </c>
      <c r="F78" s="28">
        <f t="shared" si="42"/>
        <v>125761.9</v>
      </c>
      <c r="G78" s="29">
        <f>SUM(G80:G85)</f>
        <v>35645.300000000003</v>
      </c>
      <c r="H78" s="29">
        <f>SUM(H80:H85)</f>
        <v>87913.5</v>
      </c>
      <c r="I78" s="29">
        <f>SUM(I80:I85)</f>
        <v>2203.1</v>
      </c>
      <c r="J78" s="28">
        <f t="shared" si="86"/>
        <v>93119</v>
      </c>
      <c r="K78" s="29">
        <f>SUM(K80:K85)</f>
        <v>24152.400000000001</v>
      </c>
      <c r="L78" s="29">
        <f>SUM(L80:L85)</f>
        <v>68798.7</v>
      </c>
      <c r="M78" s="29">
        <f>SUM(M80:M85)</f>
        <v>167.9</v>
      </c>
      <c r="N78" s="28">
        <f t="shared" si="87"/>
        <v>41163.5</v>
      </c>
      <c r="O78" s="29">
        <f>SUM(O80:O85)</f>
        <v>33166.800000000003</v>
      </c>
      <c r="P78" s="29">
        <f>SUM(P80:P85)</f>
        <v>7996.7</v>
      </c>
      <c r="Q78" s="29">
        <f>SUM(Q80:Q85)</f>
        <v>0</v>
      </c>
      <c r="R78" s="28">
        <f t="shared" si="88"/>
        <v>372944.2</v>
      </c>
      <c r="S78" s="29">
        <f>SUM(S80:S85)</f>
        <v>173868.4</v>
      </c>
      <c r="T78" s="29">
        <f>SUM(T80:T85)</f>
        <v>199075.8</v>
      </c>
      <c r="U78" s="29">
        <f>SUM(U80:U85)</f>
        <v>0</v>
      </c>
      <c r="V78" s="30">
        <f t="shared" si="43"/>
        <v>0.74</v>
      </c>
      <c r="W78" s="31" t="s">
        <v>357</v>
      </c>
      <c r="X78" s="2"/>
    </row>
    <row r="79" spans="1:24" ht="18.75">
      <c r="A79" s="42"/>
      <c r="B79" s="43" t="s">
        <v>15</v>
      </c>
      <c r="C79" s="33"/>
      <c r="D79" s="33"/>
      <c r="E79" s="33"/>
      <c r="F79" s="28"/>
      <c r="G79" s="29"/>
      <c r="H79" s="29"/>
      <c r="I79" s="29"/>
      <c r="J79" s="28"/>
      <c r="K79" s="29"/>
      <c r="L79" s="29"/>
      <c r="M79" s="29"/>
      <c r="N79" s="28"/>
      <c r="O79" s="29"/>
      <c r="P79" s="29"/>
      <c r="Q79" s="29"/>
      <c r="R79" s="28"/>
      <c r="S79" s="29"/>
      <c r="T79" s="29"/>
      <c r="U79" s="29"/>
      <c r="V79" s="30"/>
      <c r="W79" s="2"/>
      <c r="X79" s="2"/>
    </row>
    <row r="80" spans="1:24" ht="75" customHeight="1">
      <c r="A80" s="42"/>
      <c r="B80" s="44" t="s">
        <v>171</v>
      </c>
      <c r="C80" s="37">
        <v>821</v>
      </c>
      <c r="D80" s="38" t="s">
        <v>19</v>
      </c>
      <c r="E80" s="71" t="s">
        <v>172</v>
      </c>
      <c r="F80" s="28">
        <f t="shared" si="42"/>
        <v>11438.6</v>
      </c>
      <c r="G80" s="34">
        <v>278</v>
      </c>
      <c r="H80" s="34">
        <v>8957.5</v>
      </c>
      <c r="I80" s="34">
        <v>2203.1</v>
      </c>
      <c r="J80" s="28">
        <f t="shared" ref="J80:J86" si="89">K80+L80+M80</f>
        <v>872</v>
      </c>
      <c r="K80" s="34">
        <f>11.9+9.3</f>
        <v>21.2</v>
      </c>
      <c r="L80" s="34">
        <f>384.3+298.6</f>
        <v>682.9</v>
      </c>
      <c r="M80" s="34">
        <v>167.9</v>
      </c>
      <c r="N80" s="28">
        <f t="shared" ref="N80:N86" si="90">O80+P80+Q80</f>
        <v>8244.1</v>
      </c>
      <c r="O80" s="34">
        <v>247.4</v>
      </c>
      <c r="P80" s="34">
        <v>7996.7</v>
      </c>
      <c r="Q80" s="34"/>
      <c r="R80" s="28">
        <f t="shared" ref="R80:R86" si="91">S80+T80+U80</f>
        <v>8088</v>
      </c>
      <c r="S80" s="34">
        <v>242.7</v>
      </c>
      <c r="T80" s="34">
        <v>7845.3</v>
      </c>
      <c r="U80" s="34"/>
      <c r="V80" s="35">
        <f t="shared" si="43"/>
        <v>7.5999999999999998E-2</v>
      </c>
      <c r="W80" s="2"/>
      <c r="X80" s="2"/>
    </row>
    <row r="81" spans="1:24" ht="70.5" customHeight="1">
      <c r="A81" s="42"/>
      <c r="B81" s="44" t="s">
        <v>176</v>
      </c>
      <c r="C81" s="37">
        <v>815</v>
      </c>
      <c r="D81" s="38" t="s">
        <v>50</v>
      </c>
      <c r="E81" s="71" t="s">
        <v>175</v>
      </c>
      <c r="F81" s="28">
        <f t="shared" si="42"/>
        <v>81397.899999999994</v>
      </c>
      <c r="G81" s="34">
        <v>2441.9</v>
      </c>
      <c r="H81" s="34">
        <v>78956</v>
      </c>
      <c r="I81" s="34"/>
      <c r="J81" s="28">
        <f t="shared" si="89"/>
        <v>70222.399999999994</v>
      </c>
      <c r="K81" s="34">
        <f>37.6+1694.8+374.2</f>
        <v>2106.6</v>
      </c>
      <c r="L81" s="34">
        <f>1217.1+54798.3+12100.4</f>
        <v>68115.8</v>
      </c>
      <c r="M81" s="34"/>
      <c r="N81" s="28">
        <f t="shared" si="90"/>
        <v>0</v>
      </c>
      <c r="O81" s="34"/>
      <c r="P81" s="34"/>
      <c r="Q81" s="34"/>
      <c r="R81" s="28">
        <f t="shared" si="91"/>
        <v>0</v>
      </c>
      <c r="S81" s="34"/>
      <c r="T81" s="34"/>
      <c r="U81" s="34"/>
      <c r="V81" s="35">
        <f t="shared" si="43"/>
        <v>0.86299999999999999</v>
      </c>
      <c r="W81" s="2"/>
      <c r="X81" s="2"/>
    </row>
    <row r="82" spans="1:24" ht="38.25" customHeight="1">
      <c r="A82" s="42"/>
      <c r="B82" s="44" t="s">
        <v>58</v>
      </c>
      <c r="C82" s="37">
        <v>815</v>
      </c>
      <c r="D82" s="38" t="s">
        <v>50</v>
      </c>
      <c r="E82" s="71" t="s">
        <v>222</v>
      </c>
      <c r="F82" s="28">
        <f t="shared" si="42"/>
        <v>7000</v>
      </c>
      <c r="G82" s="34">
        <v>7000</v>
      </c>
      <c r="H82" s="34"/>
      <c r="I82" s="34"/>
      <c r="J82" s="28">
        <f t="shared" si="89"/>
        <v>0</v>
      </c>
      <c r="K82" s="34"/>
      <c r="L82" s="34"/>
      <c r="M82" s="34"/>
      <c r="N82" s="28">
        <f t="shared" si="90"/>
        <v>7000</v>
      </c>
      <c r="O82" s="34">
        <v>7000</v>
      </c>
      <c r="P82" s="34"/>
      <c r="Q82" s="34"/>
      <c r="R82" s="28">
        <f t="shared" si="91"/>
        <v>348757.8</v>
      </c>
      <c r="S82" s="34">
        <v>157527.29999999999</v>
      </c>
      <c r="T82" s="34">
        <v>191230.5</v>
      </c>
      <c r="U82" s="34"/>
      <c r="V82" s="35">
        <f t="shared" si="43"/>
        <v>0</v>
      </c>
      <c r="W82" s="2"/>
      <c r="X82" s="2"/>
    </row>
    <row r="83" spans="1:24" ht="39" customHeight="1">
      <c r="A83" s="42"/>
      <c r="B83" s="44" t="s">
        <v>59</v>
      </c>
      <c r="C83" s="37">
        <v>815</v>
      </c>
      <c r="D83" s="38" t="s">
        <v>50</v>
      </c>
      <c r="E83" s="42" t="s">
        <v>244</v>
      </c>
      <c r="F83" s="28">
        <f t="shared" si="42"/>
        <v>6000</v>
      </c>
      <c r="G83" s="34">
        <v>6000</v>
      </c>
      <c r="H83" s="34"/>
      <c r="I83" s="34"/>
      <c r="J83" s="28">
        <f t="shared" si="89"/>
        <v>6000</v>
      </c>
      <c r="K83" s="34">
        <v>6000</v>
      </c>
      <c r="L83" s="34"/>
      <c r="M83" s="34"/>
      <c r="N83" s="28">
        <f t="shared" si="90"/>
        <v>6000</v>
      </c>
      <c r="O83" s="34">
        <v>6000</v>
      </c>
      <c r="P83" s="34"/>
      <c r="Q83" s="34"/>
      <c r="R83" s="28">
        <f t="shared" si="91"/>
        <v>0</v>
      </c>
      <c r="S83" s="34"/>
      <c r="T83" s="34"/>
      <c r="U83" s="34"/>
      <c r="V83" s="35">
        <f t="shared" si="43"/>
        <v>1</v>
      </c>
      <c r="W83" s="2"/>
      <c r="X83" s="2"/>
    </row>
    <row r="84" spans="1:24" ht="66">
      <c r="A84" s="42"/>
      <c r="B84" s="44" t="s">
        <v>245</v>
      </c>
      <c r="C84" s="37">
        <v>815</v>
      </c>
      <c r="D84" s="38" t="s">
        <v>50</v>
      </c>
      <c r="E84" s="42" t="s">
        <v>246</v>
      </c>
      <c r="F84" s="28">
        <f t="shared" si="42"/>
        <v>3821</v>
      </c>
      <c r="G84" s="34">
        <v>3821</v>
      </c>
      <c r="H84" s="34"/>
      <c r="I84" s="34"/>
      <c r="J84" s="28">
        <f t="shared" si="89"/>
        <v>3821</v>
      </c>
      <c r="K84" s="34">
        <v>3821</v>
      </c>
      <c r="L84" s="34"/>
      <c r="M84" s="34"/>
      <c r="N84" s="28">
        <f t="shared" si="90"/>
        <v>3821</v>
      </c>
      <c r="O84" s="34">
        <v>3821</v>
      </c>
      <c r="P84" s="34"/>
      <c r="Q84" s="34"/>
      <c r="R84" s="28">
        <f t="shared" si="91"/>
        <v>0</v>
      </c>
      <c r="S84" s="34"/>
      <c r="T84" s="34"/>
      <c r="U84" s="34"/>
      <c r="V84" s="35">
        <f t="shared" si="43"/>
        <v>1</v>
      </c>
      <c r="W84" s="2"/>
      <c r="X84" s="2"/>
    </row>
    <row r="85" spans="1:24" ht="34.5" customHeight="1">
      <c r="A85" s="42"/>
      <c r="B85" s="44" t="s">
        <v>174</v>
      </c>
      <c r="C85" s="37">
        <v>815</v>
      </c>
      <c r="D85" s="38" t="s">
        <v>50</v>
      </c>
      <c r="E85" s="42" t="s">
        <v>173</v>
      </c>
      <c r="F85" s="28">
        <f t="shared" si="42"/>
        <v>16104.4</v>
      </c>
      <c r="G85" s="34">
        <v>16104.4</v>
      </c>
      <c r="H85" s="34"/>
      <c r="I85" s="34"/>
      <c r="J85" s="28">
        <f t="shared" si="89"/>
        <v>12203.6</v>
      </c>
      <c r="K85" s="34">
        <v>12203.6</v>
      </c>
      <c r="L85" s="34"/>
      <c r="M85" s="34"/>
      <c r="N85" s="28">
        <f t="shared" si="90"/>
        <v>16098.4</v>
      </c>
      <c r="O85" s="34">
        <v>16098.4</v>
      </c>
      <c r="P85" s="34"/>
      <c r="Q85" s="34"/>
      <c r="R85" s="28">
        <f t="shared" si="91"/>
        <v>16098.4</v>
      </c>
      <c r="S85" s="34">
        <v>16098.4</v>
      </c>
      <c r="T85" s="34"/>
      <c r="U85" s="34"/>
      <c r="V85" s="35">
        <f t="shared" si="43"/>
        <v>0.75800000000000001</v>
      </c>
      <c r="W85" s="2"/>
      <c r="X85" s="2"/>
    </row>
    <row r="86" spans="1:24" ht="66">
      <c r="A86" s="12" t="s">
        <v>60</v>
      </c>
      <c r="B86" s="26" t="s">
        <v>61</v>
      </c>
      <c r="C86" s="40" t="s">
        <v>12</v>
      </c>
      <c r="D86" s="40" t="s">
        <v>12</v>
      </c>
      <c r="E86" s="40" t="s">
        <v>12</v>
      </c>
      <c r="F86" s="28">
        <f t="shared" si="42"/>
        <v>65398</v>
      </c>
      <c r="G86" s="29">
        <f t="shared" ref="G86:H86" si="92">SUM(G88:G93)</f>
        <v>65398</v>
      </c>
      <c r="H86" s="29">
        <f t="shared" si="92"/>
        <v>0</v>
      </c>
      <c r="I86" s="29">
        <f t="shared" ref="I86" si="93">SUM(I88:I93)</f>
        <v>0</v>
      </c>
      <c r="J86" s="28">
        <f t="shared" si="89"/>
        <v>40406.6</v>
      </c>
      <c r="K86" s="29">
        <f t="shared" ref="K86:M86" si="94">SUM(K88:K93)</f>
        <v>40406.6</v>
      </c>
      <c r="L86" s="29">
        <f t="shared" si="94"/>
        <v>0</v>
      </c>
      <c r="M86" s="29">
        <f t="shared" si="94"/>
        <v>0</v>
      </c>
      <c r="N86" s="28">
        <f t="shared" si="90"/>
        <v>44170</v>
      </c>
      <c r="O86" s="29">
        <f t="shared" ref="O86:T86" si="95">SUM(O88:O93)</f>
        <v>44170</v>
      </c>
      <c r="P86" s="29">
        <f t="shared" si="95"/>
        <v>0</v>
      </c>
      <c r="Q86" s="29">
        <f t="shared" si="95"/>
        <v>0</v>
      </c>
      <c r="R86" s="28">
        <f t="shared" si="91"/>
        <v>44170</v>
      </c>
      <c r="S86" s="29">
        <f t="shared" si="95"/>
        <v>44170</v>
      </c>
      <c r="T86" s="29">
        <f t="shared" si="95"/>
        <v>0</v>
      </c>
      <c r="U86" s="29">
        <f t="shared" ref="U86" si="96">SUM(U88:U93)</f>
        <v>0</v>
      </c>
      <c r="V86" s="30">
        <f t="shared" si="43"/>
        <v>0.61799999999999999</v>
      </c>
      <c r="W86" s="50" t="s">
        <v>358</v>
      </c>
      <c r="X86" s="2"/>
    </row>
    <row r="87" spans="1:24" ht="18.75">
      <c r="A87" s="15"/>
      <c r="B87" s="32" t="s">
        <v>15</v>
      </c>
      <c r="C87" s="67"/>
      <c r="D87" s="67"/>
      <c r="E87" s="67"/>
      <c r="F87" s="28"/>
      <c r="G87" s="29"/>
      <c r="H87" s="29"/>
      <c r="I87" s="29"/>
      <c r="J87" s="28"/>
      <c r="K87" s="29"/>
      <c r="L87" s="29"/>
      <c r="M87" s="29"/>
      <c r="N87" s="28"/>
      <c r="O87" s="29"/>
      <c r="P87" s="29"/>
      <c r="Q87" s="29"/>
      <c r="R87" s="28"/>
      <c r="S87" s="29"/>
      <c r="T87" s="29"/>
      <c r="U87" s="29"/>
      <c r="V87" s="30"/>
      <c r="W87" s="2"/>
      <c r="X87" s="2"/>
    </row>
    <row r="88" spans="1:24" ht="82.5">
      <c r="A88" s="42"/>
      <c r="B88" s="44" t="s">
        <v>225</v>
      </c>
      <c r="C88" s="37">
        <v>816</v>
      </c>
      <c r="D88" s="38" t="s">
        <v>53</v>
      </c>
      <c r="E88" s="37" t="s">
        <v>224</v>
      </c>
      <c r="F88" s="28">
        <f t="shared" si="42"/>
        <v>0</v>
      </c>
      <c r="G88" s="34">
        <f>16630-16630</f>
        <v>0</v>
      </c>
      <c r="H88" s="34"/>
      <c r="I88" s="34"/>
      <c r="J88" s="28">
        <f t="shared" ref="J88:J93" si="97">K88+L88+M88</f>
        <v>0</v>
      </c>
      <c r="K88" s="34"/>
      <c r="L88" s="34"/>
      <c r="M88" s="34"/>
      <c r="N88" s="28">
        <f t="shared" ref="N88:N93" si="98">O88+P88+Q88</f>
        <v>0</v>
      </c>
      <c r="O88" s="34">
        <f>16630-16630</f>
        <v>0</v>
      </c>
      <c r="P88" s="34"/>
      <c r="Q88" s="34"/>
      <c r="R88" s="28">
        <f t="shared" ref="R88:R93" si="99">S88+T88+U88</f>
        <v>0</v>
      </c>
      <c r="S88" s="34">
        <f>16630-16630</f>
        <v>0</v>
      </c>
      <c r="T88" s="34"/>
      <c r="U88" s="34"/>
      <c r="V88" s="35" t="e">
        <f t="shared" si="43"/>
        <v>#DIV/0!</v>
      </c>
      <c r="W88" s="2"/>
      <c r="X88" s="2"/>
    </row>
    <row r="89" spans="1:24" ht="42" customHeight="1">
      <c r="A89" s="42"/>
      <c r="B89" s="44" t="s">
        <v>63</v>
      </c>
      <c r="C89" s="37">
        <v>816</v>
      </c>
      <c r="D89" s="38" t="s">
        <v>53</v>
      </c>
      <c r="E89" s="71" t="s">
        <v>232</v>
      </c>
      <c r="F89" s="28">
        <f t="shared" si="42"/>
        <v>45240</v>
      </c>
      <c r="G89" s="34">
        <v>45240</v>
      </c>
      <c r="H89" s="34"/>
      <c r="I89" s="34"/>
      <c r="J89" s="28">
        <f t="shared" si="97"/>
        <v>24600</v>
      </c>
      <c r="K89" s="34">
        <f>17000+3800+3800</f>
        <v>24600</v>
      </c>
      <c r="L89" s="34"/>
      <c r="M89" s="34"/>
      <c r="N89" s="28">
        <f t="shared" si="98"/>
        <v>33000</v>
      </c>
      <c r="O89" s="34">
        <v>33000</v>
      </c>
      <c r="P89" s="34"/>
      <c r="Q89" s="34"/>
      <c r="R89" s="28">
        <f t="shared" si="99"/>
        <v>33000</v>
      </c>
      <c r="S89" s="34">
        <v>33000</v>
      </c>
      <c r="T89" s="34"/>
      <c r="U89" s="34"/>
      <c r="V89" s="35">
        <f t="shared" si="43"/>
        <v>0.54400000000000004</v>
      </c>
      <c r="W89" s="2"/>
      <c r="X89" s="2"/>
    </row>
    <row r="90" spans="1:24" ht="66">
      <c r="A90" s="42"/>
      <c r="B90" s="44" t="s">
        <v>62</v>
      </c>
      <c r="C90" s="37">
        <v>816</v>
      </c>
      <c r="D90" s="38" t="s">
        <v>53</v>
      </c>
      <c r="E90" s="71" t="s">
        <v>226</v>
      </c>
      <c r="F90" s="28">
        <f t="shared" si="42"/>
        <v>11170</v>
      </c>
      <c r="G90" s="34">
        <v>11170</v>
      </c>
      <c r="H90" s="34"/>
      <c r="I90" s="34"/>
      <c r="J90" s="28">
        <f t="shared" si="97"/>
        <v>6818.6</v>
      </c>
      <c r="K90" s="34">
        <f>3432.6+1697.4+1688.6</f>
        <v>6818.6</v>
      </c>
      <c r="L90" s="34"/>
      <c r="M90" s="34"/>
      <c r="N90" s="28">
        <f t="shared" si="98"/>
        <v>0</v>
      </c>
      <c r="O90" s="34"/>
      <c r="P90" s="34"/>
      <c r="Q90" s="34"/>
      <c r="R90" s="28">
        <f t="shared" si="99"/>
        <v>0</v>
      </c>
      <c r="S90" s="34"/>
      <c r="T90" s="34"/>
      <c r="U90" s="34"/>
      <c r="V90" s="35">
        <f t="shared" si="43"/>
        <v>0.61</v>
      </c>
      <c r="W90" s="2"/>
      <c r="X90" s="2"/>
    </row>
    <row r="91" spans="1:24" ht="72" customHeight="1">
      <c r="A91" s="42"/>
      <c r="B91" s="44" t="s">
        <v>64</v>
      </c>
      <c r="C91" s="37">
        <v>816</v>
      </c>
      <c r="D91" s="38" t="s">
        <v>53</v>
      </c>
      <c r="E91" s="71" t="s">
        <v>227</v>
      </c>
      <c r="F91" s="28">
        <f t="shared" si="42"/>
        <v>8988</v>
      </c>
      <c r="G91" s="34">
        <f>11170-2182</f>
        <v>8988</v>
      </c>
      <c r="H91" s="34"/>
      <c r="I91" s="34"/>
      <c r="J91" s="28">
        <f t="shared" si="97"/>
        <v>8988</v>
      </c>
      <c r="K91" s="34">
        <f>4642.9+4345.1</f>
        <v>8988</v>
      </c>
      <c r="L91" s="34"/>
      <c r="M91" s="34"/>
      <c r="N91" s="28">
        <f t="shared" si="98"/>
        <v>11170</v>
      </c>
      <c r="O91" s="34">
        <v>11170</v>
      </c>
      <c r="P91" s="34"/>
      <c r="Q91" s="34"/>
      <c r="R91" s="28">
        <f t="shared" si="99"/>
        <v>11170</v>
      </c>
      <c r="S91" s="34">
        <v>11170</v>
      </c>
      <c r="T91" s="34"/>
      <c r="U91" s="34"/>
      <c r="V91" s="35">
        <f t="shared" si="43"/>
        <v>1</v>
      </c>
      <c r="W91" s="2"/>
      <c r="X91" s="2"/>
    </row>
    <row r="92" spans="1:24" ht="86.25" customHeight="1">
      <c r="A92" s="42"/>
      <c r="B92" s="56" t="s">
        <v>65</v>
      </c>
      <c r="C92" s="37">
        <v>816</v>
      </c>
      <c r="D92" s="38" t="s">
        <v>53</v>
      </c>
      <c r="E92" s="71" t="s">
        <v>223</v>
      </c>
      <c r="F92" s="28">
        <f t="shared" si="42"/>
        <v>0</v>
      </c>
      <c r="G92" s="34">
        <f>20-20</f>
        <v>0</v>
      </c>
      <c r="H92" s="34"/>
      <c r="I92" s="34"/>
      <c r="J92" s="28">
        <f t="shared" si="97"/>
        <v>0</v>
      </c>
      <c r="K92" s="34"/>
      <c r="L92" s="34"/>
      <c r="M92" s="34"/>
      <c r="N92" s="28">
        <f t="shared" si="98"/>
        <v>0</v>
      </c>
      <c r="O92" s="34">
        <f>20-20</f>
        <v>0</v>
      </c>
      <c r="P92" s="34"/>
      <c r="Q92" s="34"/>
      <c r="R92" s="28">
        <f t="shared" si="99"/>
        <v>0</v>
      </c>
      <c r="S92" s="34">
        <f>20-20</f>
        <v>0</v>
      </c>
      <c r="T92" s="34"/>
      <c r="U92" s="34"/>
      <c r="V92" s="35" t="e">
        <f t="shared" si="43"/>
        <v>#DIV/0!</v>
      </c>
      <c r="W92" s="2"/>
      <c r="X92" s="2"/>
    </row>
    <row r="93" spans="1:24" ht="63.75" customHeight="1">
      <c r="A93" s="42"/>
      <c r="B93" s="56" t="s">
        <v>66</v>
      </c>
      <c r="C93" s="37">
        <v>816</v>
      </c>
      <c r="D93" s="38" t="s">
        <v>53</v>
      </c>
      <c r="E93" s="71" t="s">
        <v>228</v>
      </c>
      <c r="F93" s="28">
        <f t="shared" ref="F93:F133" si="100">G93+H93+I93</f>
        <v>0</v>
      </c>
      <c r="G93" s="34">
        <v>0</v>
      </c>
      <c r="H93" s="34"/>
      <c r="I93" s="34"/>
      <c r="J93" s="28">
        <f t="shared" si="97"/>
        <v>0</v>
      </c>
      <c r="K93" s="34"/>
      <c r="L93" s="34"/>
      <c r="M93" s="34"/>
      <c r="N93" s="28">
        <f t="shared" si="98"/>
        <v>0</v>
      </c>
      <c r="O93" s="34"/>
      <c r="P93" s="34"/>
      <c r="Q93" s="34"/>
      <c r="R93" s="28">
        <f t="shared" si="99"/>
        <v>0</v>
      </c>
      <c r="S93" s="34"/>
      <c r="T93" s="34"/>
      <c r="U93" s="34"/>
      <c r="V93" s="35"/>
      <c r="W93" s="2"/>
      <c r="X93" s="2"/>
    </row>
    <row r="94" spans="1:24" ht="28.5" customHeight="1">
      <c r="A94" s="20" t="s">
        <v>67</v>
      </c>
      <c r="B94" s="72" t="s">
        <v>68</v>
      </c>
      <c r="C94" s="22" t="s">
        <v>12</v>
      </c>
      <c r="D94" s="22" t="s">
        <v>12</v>
      </c>
      <c r="E94" s="22" t="s">
        <v>12</v>
      </c>
      <c r="F94" s="53">
        <f t="shared" si="100"/>
        <v>57951.8</v>
      </c>
      <c r="G94" s="53">
        <f>G95+G98+G101+G105+G111</f>
        <v>37620.300000000003</v>
      </c>
      <c r="H94" s="53">
        <f>H95+H98+H101+H105+H111</f>
        <v>20331.5</v>
      </c>
      <c r="I94" s="53">
        <f>I95+I98+I101+I105+I111</f>
        <v>0</v>
      </c>
      <c r="J94" s="53">
        <f t="shared" ref="J94:J95" si="101">K94+L94+M94</f>
        <v>4334.1000000000004</v>
      </c>
      <c r="K94" s="53">
        <f>K95+K98+K101+K105+K111</f>
        <v>4334.1000000000004</v>
      </c>
      <c r="L94" s="53">
        <f>L95+L98+L101+L105+L111</f>
        <v>0</v>
      </c>
      <c r="M94" s="53">
        <f>M95+M98+M101+M105+M111</f>
        <v>0</v>
      </c>
      <c r="N94" s="53">
        <f t="shared" ref="N94:N95" si="102">O94+P94+Q94</f>
        <v>50781.4</v>
      </c>
      <c r="O94" s="53">
        <f>O95+O98+O101+O105+O111</f>
        <v>16311.1</v>
      </c>
      <c r="P94" s="53">
        <f>P95+P98+P101+P105+P111</f>
        <v>34470.300000000003</v>
      </c>
      <c r="Q94" s="53">
        <f>Q95+Q98+Q101+Q105+Q111</f>
        <v>0</v>
      </c>
      <c r="R94" s="53">
        <f t="shared" ref="R94:R95" si="103">S94+T94+U94</f>
        <v>88625.8</v>
      </c>
      <c r="S94" s="53">
        <f>S95+S98+S101+S105+S111</f>
        <v>15451</v>
      </c>
      <c r="T94" s="53">
        <f>T95+T98+T101+T105+T111</f>
        <v>73174.8</v>
      </c>
      <c r="U94" s="53">
        <f>U95+U98+U101+U105+U111</f>
        <v>0</v>
      </c>
      <c r="V94" s="54">
        <f t="shared" ref="V94:V133" si="104">J94/F94</f>
        <v>7.4999999999999997E-2</v>
      </c>
      <c r="W94" s="2"/>
      <c r="X94" s="2"/>
    </row>
    <row r="95" spans="1:24" ht="33">
      <c r="A95" s="12" t="s">
        <v>69</v>
      </c>
      <c r="B95" s="26" t="s">
        <v>70</v>
      </c>
      <c r="C95" s="40" t="s">
        <v>12</v>
      </c>
      <c r="D95" s="40" t="s">
        <v>12</v>
      </c>
      <c r="E95" s="40" t="s">
        <v>12</v>
      </c>
      <c r="F95" s="29">
        <f t="shared" si="100"/>
        <v>122.4</v>
      </c>
      <c r="G95" s="29">
        <f>SUM(G97:G97)</f>
        <v>122.4</v>
      </c>
      <c r="H95" s="29">
        <f>SUM(H97:H97)</f>
        <v>0</v>
      </c>
      <c r="I95" s="29">
        <f>SUM(I97:I97)</f>
        <v>0</v>
      </c>
      <c r="J95" s="29">
        <f t="shared" si="101"/>
        <v>122.4</v>
      </c>
      <c r="K95" s="29">
        <f>SUM(K97:K97)</f>
        <v>122.4</v>
      </c>
      <c r="L95" s="29">
        <f>SUM(L97:L97)</f>
        <v>0</v>
      </c>
      <c r="M95" s="29">
        <f>SUM(M97:M97)</f>
        <v>0</v>
      </c>
      <c r="N95" s="28">
        <f t="shared" si="102"/>
        <v>0</v>
      </c>
      <c r="O95" s="29">
        <f>SUM(O97:O97)</f>
        <v>0</v>
      </c>
      <c r="P95" s="29">
        <f>SUM(P97:P97)</f>
        <v>0</v>
      </c>
      <c r="Q95" s="29">
        <f>SUM(Q97:Q97)</f>
        <v>0</v>
      </c>
      <c r="R95" s="28">
        <f t="shared" si="103"/>
        <v>0</v>
      </c>
      <c r="S95" s="29">
        <f>SUM(S97:S97)</f>
        <v>0</v>
      </c>
      <c r="T95" s="29">
        <f>SUM(T97:T97)</f>
        <v>0</v>
      </c>
      <c r="U95" s="29">
        <f>SUM(U97:U97)</f>
        <v>0</v>
      </c>
      <c r="V95" s="41">
        <f t="shared" si="104"/>
        <v>1</v>
      </c>
      <c r="W95" s="31" t="s">
        <v>359</v>
      </c>
      <c r="X95" s="2"/>
    </row>
    <row r="96" spans="1:24" ht="18.75">
      <c r="A96" s="25"/>
      <c r="B96" s="73" t="s">
        <v>15</v>
      </c>
      <c r="C96" s="74"/>
      <c r="D96" s="74"/>
      <c r="E96" s="74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41"/>
      <c r="W96" s="2"/>
      <c r="X96" s="2"/>
    </row>
    <row r="97" spans="1:24" ht="129" customHeight="1">
      <c r="A97" s="42"/>
      <c r="B97" s="44" t="s">
        <v>253</v>
      </c>
      <c r="C97" s="37">
        <v>815</v>
      </c>
      <c r="D97" s="38" t="s">
        <v>50</v>
      </c>
      <c r="E97" s="71" t="s">
        <v>254</v>
      </c>
      <c r="F97" s="28">
        <f t="shared" si="100"/>
        <v>122.4</v>
      </c>
      <c r="G97" s="34">
        <v>122.4</v>
      </c>
      <c r="H97" s="34"/>
      <c r="I97" s="34"/>
      <c r="J97" s="28">
        <f t="shared" ref="J97:J98" si="105">K97+L97+M97</f>
        <v>122.4</v>
      </c>
      <c r="K97" s="34">
        <v>122.4</v>
      </c>
      <c r="L97" s="34"/>
      <c r="M97" s="34"/>
      <c r="N97" s="29">
        <f t="shared" ref="N97:N98" si="106">O97+P97+Q97</f>
        <v>0</v>
      </c>
      <c r="O97" s="34"/>
      <c r="P97" s="34"/>
      <c r="Q97" s="34"/>
      <c r="R97" s="29">
        <f t="shared" ref="R97:R98" si="107">S97+T97+U97</f>
        <v>0</v>
      </c>
      <c r="S97" s="34"/>
      <c r="T97" s="34"/>
      <c r="U97" s="34"/>
      <c r="V97" s="75">
        <f t="shared" si="104"/>
        <v>1</v>
      </c>
      <c r="W97" s="2"/>
      <c r="X97" s="2"/>
    </row>
    <row r="98" spans="1:24" ht="33">
      <c r="A98" s="25" t="s">
        <v>71</v>
      </c>
      <c r="B98" s="57" t="s">
        <v>72</v>
      </c>
      <c r="C98" s="74" t="s">
        <v>12</v>
      </c>
      <c r="D98" s="74" t="s">
        <v>12</v>
      </c>
      <c r="E98" s="74" t="s">
        <v>12</v>
      </c>
      <c r="F98" s="28">
        <f t="shared" si="100"/>
        <v>20000</v>
      </c>
      <c r="G98" s="29">
        <f>SUM(G100:G100)</f>
        <v>20000</v>
      </c>
      <c r="H98" s="29">
        <f>SUM(H100:H100)</f>
        <v>0</v>
      </c>
      <c r="I98" s="29">
        <f>SUM(I100:I100)</f>
        <v>0</v>
      </c>
      <c r="J98" s="28">
        <f t="shared" si="105"/>
        <v>0</v>
      </c>
      <c r="K98" s="29">
        <f>SUM(K100:K100)</f>
        <v>0</v>
      </c>
      <c r="L98" s="29">
        <f>SUM(L100:L100)</f>
        <v>0</v>
      </c>
      <c r="M98" s="29">
        <f>SUM(M100:M100)</f>
        <v>0</v>
      </c>
      <c r="N98" s="29">
        <f t="shared" si="106"/>
        <v>0</v>
      </c>
      <c r="O98" s="29">
        <f>SUM(O100:O100)</f>
        <v>0</v>
      </c>
      <c r="P98" s="29">
        <f>SUM(P100:P100)</f>
        <v>0</v>
      </c>
      <c r="Q98" s="29">
        <f>SUM(Q100:Q100)</f>
        <v>0</v>
      </c>
      <c r="R98" s="29">
        <f t="shared" si="107"/>
        <v>0</v>
      </c>
      <c r="S98" s="29">
        <f>SUM(S100:S100)</f>
        <v>0</v>
      </c>
      <c r="T98" s="29">
        <f>SUM(T100:T100)</f>
        <v>0</v>
      </c>
      <c r="U98" s="29">
        <f>SUM(U100:U100)</f>
        <v>0</v>
      </c>
      <c r="V98" s="41">
        <f t="shared" si="104"/>
        <v>0</v>
      </c>
      <c r="W98" s="76" t="s">
        <v>360</v>
      </c>
      <c r="X98" s="2"/>
    </row>
    <row r="99" spans="1:24" ht="18.75">
      <c r="A99" s="42"/>
      <c r="B99" s="73" t="s">
        <v>15</v>
      </c>
      <c r="C99" s="33"/>
      <c r="D99" s="45"/>
      <c r="E99" s="77"/>
      <c r="F99" s="28"/>
      <c r="G99" s="29"/>
      <c r="H99" s="29"/>
      <c r="I99" s="29"/>
      <c r="J99" s="28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41"/>
      <c r="W99" s="2"/>
      <c r="X99" s="2"/>
    </row>
    <row r="100" spans="1:24" ht="66">
      <c r="A100" s="42"/>
      <c r="B100" s="44" t="s">
        <v>73</v>
      </c>
      <c r="C100" s="37">
        <v>840</v>
      </c>
      <c r="D100" s="38" t="s">
        <v>74</v>
      </c>
      <c r="E100" s="71" t="s">
        <v>237</v>
      </c>
      <c r="F100" s="28">
        <f t="shared" si="100"/>
        <v>20000</v>
      </c>
      <c r="G100" s="34">
        <v>20000</v>
      </c>
      <c r="H100" s="34"/>
      <c r="I100" s="34"/>
      <c r="J100" s="28">
        <f t="shared" ref="J100:J101" si="108">K100+L100+M100</f>
        <v>0</v>
      </c>
      <c r="K100" s="34"/>
      <c r="L100" s="34"/>
      <c r="M100" s="34"/>
      <c r="N100" s="29">
        <f t="shared" ref="N100:N101" si="109">O100+P100+Q100</f>
        <v>0</v>
      </c>
      <c r="O100" s="34"/>
      <c r="P100" s="34"/>
      <c r="Q100" s="34"/>
      <c r="R100" s="29">
        <f t="shared" ref="R100:R101" si="110">S100+T100+U100</f>
        <v>0</v>
      </c>
      <c r="S100" s="34"/>
      <c r="T100" s="34"/>
      <c r="U100" s="34"/>
      <c r="V100" s="75">
        <f t="shared" si="104"/>
        <v>0</v>
      </c>
      <c r="W100" s="2"/>
      <c r="X100" s="2"/>
    </row>
    <row r="101" spans="1:24" ht="33">
      <c r="A101" s="25" t="s">
        <v>75</v>
      </c>
      <c r="B101" s="57" t="s">
        <v>76</v>
      </c>
      <c r="C101" s="27" t="s">
        <v>12</v>
      </c>
      <c r="D101" s="27" t="s">
        <v>12</v>
      </c>
      <c r="E101" s="27" t="s">
        <v>12</v>
      </c>
      <c r="F101" s="28">
        <f t="shared" si="100"/>
        <v>0</v>
      </c>
      <c r="G101" s="29">
        <f>SUM(G103:G104)</f>
        <v>0</v>
      </c>
      <c r="H101" s="29">
        <f>SUM(H103:H104)</f>
        <v>0</v>
      </c>
      <c r="I101" s="29">
        <f>SUM(I103:I104)</f>
        <v>0</v>
      </c>
      <c r="J101" s="28">
        <f t="shared" si="108"/>
        <v>0</v>
      </c>
      <c r="K101" s="29">
        <f>SUM(K103:K104)</f>
        <v>0</v>
      </c>
      <c r="L101" s="29">
        <f>SUM(L103:L104)</f>
        <v>0</v>
      </c>
      <c r="M101" s="29">
        <f>SUM(M103:M104)</f>
        <v>0</v>
      </c>
      <c r="N101" s="29">
        <f t="shared" si="109"/>
        <v>0</v>
      </c>
      <c r="O101" s="29">
        <f>SUM(O103:O104)</f>
        <v>0</v>
      </c>
      <c r="P101" s="29">
        <f>SUM(P103:P104)</f>
        <v>0</v>
      </c>
      <c r="Q101" s="29">
        <f>SUM(Q103:Q104)</f>
        <v>0</v>
      </c>
      <c r="R101" s="29">
        <f t="shared" si="110"/>
        <v>0</v>
      </c>
      <c r="S101" s="29">
        <f>SUM(S103:S104)</f>
        <v>0</v>
      </c>
      <c r="T101" s="29">
        <f>SUM(T103:T104)</f>
        <v>0</v>
      </c>
      <c r="U101" s="29">
        <f>SUM(U103:U104)</f>
        <v>0</v>
      </c>
      <c r="V101" s="41"/>
      <c r="W101" s="76" t="s">
        <v>361</v>
      </c>
      <c r="X101" s="2"/>
    </row>
    <row r="102" spans="1:24" ht="18.75">
      <c r="A102" s="42"/>
      <c r="B102" s="73" t="s">
        <v>15</v>
      </c>
      <c r="C102" s="33"/>
      <c r="D102" s="45"/>
      <c r="E102" s="77"/>
      <c r="F102" s="28"/>
      <c r="G102" s="29"/>
      <c r="H102" s="29"/>
      <c r="I102" s="29"/>
      <c r="J102" s="28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41"/>
      <c r="W102" s="2"/>
      <c r="X102" s="2"/>
    </row>
    <row r="103" spans="1:24" ht="49.5">
      <c r="A103" s="42"/>
      <c r="B103" s="44" t="s">
        <v>209</v>
      </c>
      <c r="C103" s="37">
        <v>804</v>
      </c>
      <c r="D103" s="38" t="s">
        <v>77</v>
      </c>
      <c r="E103" s="42" t="s">
        <v>208</v>
      </c>
      <c r="F103" s="28">
        <f t="shared" si="100"/>
        <v>0</v>
      </c>
      <c r="G103" s="34"/>
      <c r="H103" s="34"/>
      <c r="I103" s="34"/>
      <c r="J103" s="28">
        <f t="shared" ref="J103:J105" si="111">K103+L103+M103</f>
        <v>0</v>
      </c>
      <c r="K103" s="34"/>
      <c r="L103" s="34"/>
      <c r="M103" s="34"/>
      <c r="N103" s="29">
        <f t="shared" ref="N103:N105" si="112">O103+P103+Q103</f>
        <v>0</v>
      </c>
      <c r="O103" s="34"/>
      <c r="P103" s="34"/>
      <c r="Q103" s="34"/>
      <c r="R103" s="29">
        <f t="shared" ref="R103:R105" si="113">S103+T103+U103</f>
        <v>0</v>
      </c>
      <c r="S103" s="34"/>
      <c r="T103" s="34"/>
      <c r="U103" s="34"/>
      <c r="V103" s="75"/>
      <c r="W103" s="2"/>
      <c r="X103" s="2"/>
    </row>
    <row r="104" spans="1:24" ht="66">
      <c r="A104" s="42"/>
      <c r="B104" s="44" t="s">
        <v>211</v>
      </c>
      <c r="C104" s="37">
        <v>804</v>
      </c>
      <c r="D104" s="38" t="s">
        <v>77</v>
      </c>
      <c r="E104" s="42" t="s">
        <v>210</v>
      </c>
      <c r="F104" s="28">
        <f t="shared" si="100"/>
        <v>0</v>
      </c>
      <c r="G104" s="34"/>
      <c r="H104" s="34"/>
      <c r="I104" s="34"/>
      <c r="J104" s="28">
        <f t="shared" si="111"/>
        <v>0</v>
      </c>
      <c r="K104" s="34"/>
      <c r="L104" s="34"/>
      <c r="M104" s="34"/>
      <c r="N104" s="29">
        <f t="shared" si="112"/>
        <v>0</v>
      </c>
      <c r="O104" s="34"/>
      <c r="P104" s="34"/>
      <c r="Q104" s="34"/>
      <c r="R104" s="29">
        <f t="shared" si="113"/>
        <v>0</v>
      </c>
      <c r="S104" s="34"/>
      <c r="T104" s="34"/>
      <c r="U104" s="34"/>
      <c r="V104" s="75"/>
      <c r="W104" s="2"/>
      <c r="X104" s="2"/>
    </row>
    <row r="105" spans="1:24" ht="33">
      <c r="A105" s="12" t="s">
        <v>78</v>
      </c>
      <c r="B105" s="26" t="s">
        <v>79</v>
      </c>
      <c r="C105" s="40" t="s">
        <v>12</v>
      </c>
      <c r="D105" s="40" t="s">
        <v>12</v>
      </c>
      <c r="E105" s="40" t="s">
        <v>12</v>
      </c>
      <c r="F105" s="29">
        <f t="shared" si="100"/>
        <v>16869.099999999999</v>
      </c>
      <c r="G105" s="29">
        <f>SUM(G107:G110)</f>
        <v>16869.099999999999</v>
      </c>
      <c r="H105" s="29">
        <f>SUM(H107:H110)</f>
        <v>0</v>
      </c>
      <c r="I105" s="29">
        <f>SUM(I107:I110)</f>
        <v>0</v>
      </c>
      <c r="J105" s="29">
        <f t="shared" si="111"/>
        <v>4211.7</v>
      </c>
      <c r="K105" s="29">
        <f>SUM(K107:K110)</f>
        <v>4211.7</v>
      </c>
      <c r="L105" s="29">
        <f>SUM(L107:L110)</f>
        <v>0</v>
      </c>
      <c r="M105" s="29">
        <f>SUM(M107:M110)</f>
        <v>0</v>
      </c>
      <c r="N105" s="28">
        <f t="shared" si="112"/>
        <v>15245</v>
      </c>
      <c r="O105" s="29">
        <f>SUM(O107:O110)</f>
        <v>15245</v>
      </c>
      <c r="P105" s="29">
        <f>SUM(P107:P110)</f>
        <v>0</v>
      </c>
      <c r="Q105" s="29">
        <f>SUM(Q107:Q110)</f>
        <v>0</v>
      </c>
      <c r="R105" s="28">
        <f t="shared" si="113"/>
        <v>15245</v>
      </c>
      <c r="S105" s="29">
        <f>SUM(S107:S110)</f>
        <v>15245</v>
      </c>
      <c r="T105" s="29">
        <f>SUM(T107:T110)</f>
        <v>0</v>
      </c>
      <c r="U105" s="29">
        <f>SUM(U107:U110)</f>
        <v>0</v>
      </c>
      <c r="V105" s="41">
        <f t="shared" si="104"/>
        <v>0.25</v>
      </c>
      <c r="W105" s="76" t="s">
        <v>361</v>
      </c>
      <c r="X105" s="2"/>
    </row>
    <row r="106" spans="1:24" ht="18.75">
      <c r="A106" s="15"/>
      <c r="B106" s="78" t="s">
        <v>15</v>
      </c>
      <c r="C106" s="67"/>
      <c r="D106" s="79"/>
      <c r="E106" s="80"/>
      <c r="F106" s="29"/>
      <c r="G106" s="29"/>
      <c r="H106" s="29"/>
      <c r="I106" s="29"/>
      <c r="J106" s="29"/>
      <c r="K106" s="29"/>
      <c r="L106" s="29"/>
      <c r="M106" s="29"/>
      <c r="N106" s="28"/>
      <c r="O106" s="29"/>
      <c r="P106" s="29"/>
      <c r="Q106" s="29"/>
      <c r="R106" s="28"/>
      <c r="S106" s="29"/>
      <c r="T106" s="29"/>
      <c r="U106" s="29"/>
      <c r="V106" s="41"/>
      <c r="W106" s="2"/>
      <c r="X106" s="2"/>
    </row>
    <row r="107" spans="1:24" ht="66" customHeight="1">
      <c r="A107" s="42"/>
      <c r="B107" s="44" t="s">
        <v>80</v>
      </c>
      <c r="C107" s="37">
        <v>804</v>
      </c>
      <c r="D107" s="38" t="s">
        <v>77</v>
      </c>
      <c r="E107" s="42" t="s">
        <v>206</v>
      </c>
      <c r="F107" s="28">
        <f t="shared" si="100"/>
        <v>1600</v>
      </c>
      <c r="G107" s="34">
        <v>1600</v>
      </c>
      <c r="H107" s="34"/>
      <c r="I107" s="34"/>
      <c r="J107" s="29">
        <f t="shared" ref="J107:J111" si="114">K107+L107+M107</f>
        <v>1041.5999999999999</v>
      </c>
      <c r="K107" s="34">
        <f>517.6+524</f>
        <v>1041.5999999999999</v>
      </c>
      <c r="L107" s="34"/>
      <c r="M107" s="34"/>
      <c r="N107" s="29">
        <f t="shared" ref="N107:N111" si="115">O107+P107+Q107</f>
        <v>1600</v>
      </c>
      <c r="O107" s="34">
        <v>1600</v>
      </c>
      <c r="P107" s="34"/>
      <c r="Q107" s="34"/>
      <c r="R107" s="29">
        <f t="shared" ref="R107:R111" si="116">S107+T107+U107</f>
        <v>1600</v>
      </c>
      <c r="S107" s="34">
        <v>1600</v>
      </c>
      <c r="T107" s="34"/>
      <c r="U107" s="34"/>
      <c r="V107" s="75">
        <f t="shared" si="104"/>
        <v>0.65100000000000002</v>
      </c>
      <c r="W107" s="2"/>
      <c r="X107" s="2"/>
    </row>
    <row r="108" spans="1:24" ht="130.5" customHeight="1">
      <c r="A108" s="42"/>
      <c r="B108" s="44" t="s">
        <v>81</v>
      </c>
      <c r="C108" s="37">
        <v>804</v>
      </c>
      <c r="D108" s="38" t="s">
        <v>77</v>
      </c>
      <c r="E108" s="42" t="s">
        <v>207</v>
      </c>
      <c r="F108" s="28">
        <f t="shared" si="100"/>
        <v>7819</v>
      </c>
      <c r="G108" s="34">
        <v>7819</v>
      </c>
      <c r="H108" s="34"/>
      <c r="I108" s="34"/>
      <c r="J108" s="29">
        <f t="shared" si="114"/>
        <v>0</v>
      </c>
      <c r="K108" s="34"/>
      <c r="L108" s="34"/>
      <c r="M108" s="34"/>
      <c r="N108" s="29">
        <f t="shared" si="115"/>
        <v>7819</v>
      </c>
      <c r="O108" s="34">
        <v>7819</v>
      </c>
      <c r="P108" s="34"/>
      <c r="Q108" s="34"/>
      <c r="R108" s="29">
        <f t="shared" si="116"/>
        <v>7819</v>
      </c>
      <c r="S108" s="34">
        <v>7819</v>
      </c>
      <c r="T108" s="34"/>
      <c r="U108" s="34"/>
      <c r="V108" s="75">
        <f t="shared" si="104"/>
        <v>0</v>
      </c>
      <c r="W108" s="2"/>
      <c r="X108" s="2"/>
    </row>
    <row r="109" spans="1:24" ht="72.75" customHeight="1">
      <c r="A109" s="42"/>
      <c r="B109" s="44" t="s">
        <v>136</v>
      </c>
      <c r="C109" s="37">
        <v>804</v>
      </c>
      <c r="D109" s="38" t="s">
        <v>77</v>
      </c>
      <c r="E109" s="42" t="s">
        <v>205</v>
      </c>
      <c r="F109" s="28">
        <f t="shared" si="100"/>
        <v>4280</v>
      </c>
      <c r="G109" s="34">
        <f>1630+2650</f>
        <v>4280</v>
      </c>
      <c r="H109" s="34"/>
      <c r="I109" s="34"/>
      <c r="J109" s="29">
        <f t="shared" si="114"/>
        <v>0</v>
      </c>
      <c r="K109" s="34"/>
      <c r="L109" s="34"/>
      <c r="M109" s="34"/>
      <c r="N109" s="29">
        <f t="shared" si="115"/>
        <v>1930</v>
      </c>
      <c r="O109" s="34">
        <f>630+1300</f>
        <v>1930</v>
      </c>
      <c r="P109" s="34"/>
      <c r="Q109" s="34"/>
      <c r="R109" s="29">
        <f t="shared" si="116"/>
        <v>1930</v>
      </c>
      <c r="S109" s="34">
        <f>630+1300</f>
        <v>1930</v>
      </c>
      <c r="T109" s="34"/>
      <c r="U109" s="34"/>
      <c r="V109" s="75">
        <f t="shared" si="104"/>
        <v>0</v>
      </c>
      <c r="W109" s="2"/>
      <c r="X109" s="2"/>
    </row>
    <row r="110" spans="1:24" ht="134.25" customHeight="1">
      <c r="A110" s="42"/>
      <c r="B110" s="44" t="s">
        <v>204</v>
      </c>
      <c r="C110" s="37">
        <v>804</v>
      </c>
      <c r="D110" s="38" t="s">
        <v>77</v>
      </c>
      <c r="E110" s="42" t="s">
        <v>203</v>
      </c>
      <c r="F110" s="28">
        <f t="shared" si="100"/>
        <v>3170.1</v>
      </c>
      <c r="G110" s="34">
        <f>3896-725.9</f>
        <v>3170.1</v>
      </c>
      <c r="H110" s="34"/>
      <c r="I110" s="34"/>
      <c r="J110" s="29">
        <f t="shared" si="114"/>
        <v>3170.1</v>
      </c>
      <c r="K110" s="34">
        <f>2831+339.1</f>
        <v>3170.1</v>
      </c>
      <c r="L110" s="34"/>
      <c r="M110" s="34"/>
      <c r="N110" s="29">
        <f t="shared" si="115"/>
        <v>3896</v>
      </c>
      <c r="O110" s="34">
        <v>3896</v>
      </c>
      <c r="P110" s="34"/>
      <c r="Q110" s="34"/>
      <c r="R110" s="29">
        <f t="shared" si="116"/>
        <v>3896</v>
      </c>
      <c r="S110" s="34">
        <v>3896</v>
      </c>
      <c r="T110" s="34"/>
      <c r="U110" s="34"/>
      <c r="V110" s="75">
        <f t="shared" si="104"/>
        <v>1</v>
      </c>
      <c r="W110" s="2"/>
      <c r="X110" s="2"/>
    </row>
    <row r="111" spans="1:24" ht="33">
      <c r="A111" s="25" t="s">
        <v>82</v>
      </c>
      <c r="B111" s="57" t="s">
        <v>83</v>
      </c>
      <c r="C111" s="27" t="s">
        <v>12</v>
      </c>
      <c r="D111" s="27" t="s">
        <v>12</v>
      </c>
      <c r="E111" s="40" t="s">
        <v>12</v>
      </c>
      <c r="F111" s="28">
        <f t="shared" si="100"/>
        <v>20960.3</v>
      </c>
      <c r="G111" s="29">
        <f>SUM(G113:G114)</f>
        <v>628.79999999999995</v>
      </c>
      <c r="H111" s="29">
        <f>SUM(H113:H114)</f>
        <v>20331.5</v>
      </c>
      <c r="I111" s="29">
        <f>SUM(I113:I114)</f>
        <v>0</v>
      </c>
      <c r="J111" s="28">
        <f t="shared" si="114"/>
        <v>0</v>
      </c>
      <c r="K111" s="29">
        <f>SUM(K113:K114)</f>
        <v>0</v>
      </c>
      <c r="L111" s="29">
        <f>SUM(L113:L114)</f>
        <v>0</v>
      </c>
      <c r="M111" s="29">
        <f>SUM(M113:M114)</f>
        <v>0</v>
      </c>
      <c r="N111" s="28">
        <f t="shared" si="115"/>
        <v>35536.400000000001</v>
      </c>
      <c r="O111" s="29">
        <f>SUM(O113:O114)</f>
        <v>1066.0999999999999</v>
      </c>
      <c r="P111" s="29">
        <f>SUM(P113:P114)</f>
        <v>34470.300000000003</v>
      </c>
      <c r="Q111" s="29">
        <f>SUM(Q113:Q114)</f>
        <v>0</v>
      </c>
      <c r="R111" s="28">
        <f t="shared" si="116"/>
        <v>73380.800000000003</v>
      </c>
      <c r="S111" s="29">
        <f>SUM(S113:S114)</f>
        <v>206</v>
      </c>
      <c r="T111" s="29">
        <f>SUM(T113:T114)</f>
        <v>73174.8</v>
      </c>
      <c r="U111" s="29">
        <f>SUM(U113:U114)</f>
        <v>0</v>
      </c>
      <c r="V111" s="30">
        <f t="shared" si="104"/>
        <v>0</v>
      </c>
      <c r="W111" s="76" t="s">
        <v>362</v>
      </c>
      <c r="X111" s="2"/>
    </row>
    <row r="112" spans="1:24" ht="18.75">
      <c r="A112" s="15"/>
      <c r="B112" s="78" t="s">
        <v>15</v>
      </c>
      <c r="C112" s="67"/>
      <c r="D112" s="79"/>
      <c r="E112" s="81"/>
      <c r="F112" s="29"/>
      <c r="G112" s="29"/>
      <c r="H112" s="29"/>
      <c r="I112" s="29"/>
      <c r="J112" s="29"/>
      <c r="K112" s="29"/>
      <c r="L112" s="29"/>
      <c r="M112" s="29"/>
      <c r="N112" s="28"/>
      <c r="O112" s="29"/>
      <c r="P112" s="29"/>
      <c r="Q112" s="29"/>
      <c r="R112" s="28"/>
      <c r="S112" s="29"/>
      <c r="T112" s="29"/>
      <c r="U112" s="29"/>
      <c r="V112" s="41"/>
      <c r="W112" s="2"/>
      <c r="X112" s="2"/>
    </row>
    <row r="113" spans="1:103" ht="135.75" customHeight="1">
      <c r="A113" s="15"/>
      <c r="B113" s="82" t="s">
        <v>316</v>
      </c>
      <c r="C113" s="37">
        <v>815</v>
      </c>
      <c r="D113" s="38" t="s">
        <v>50</v>
      </c>
      <c r="E113" s="15" t="s">
        <v>317</v>
      </c>
      <c r="F113" s="29">
        <f t="shared" si="100"/>
        <v>0</v>
      </c>
      <c r="G113" s="34"/>
      <c r="H113" s="34"/>
      <c r="I113" s="34"/>
      <c r="J113" s="29">
        <f t="shared" ref="J113:J116" si="117">K113+L113+M113</f>
        <v>0</v>
      </c>
      <c r="K113" s="34"/>
      <c r="L113" s="34"/>
      <c r="M113" s="34"/>
      <c r="N113" s="28">
        <f t="shared" ref="N113:N116" si="118">O113+P113+Q113</f>
        <v>0</v>
      </c>
      <c r="O113" s="34"/>
      <c r="P113" s="34"/>
      <c r="Q113" s="34"/>
      <c r="R113" s="28">
        <f t="shared" ref="R113:R116" si="119">S113+T113+U113</f>
        <v>66512.600000000006</v>
      </c>
      <c r="S113" s="34"/>
      <c r="T113" s="34">
        <v>66512.600000000006</v>
      </c>
      <c r="U113" s="34"/>
      <c r="V113" s="75"/>
      <c r="W113" s="2"/>
      <c r="X113" s="2"/>
    </row>
    <row r="114" spans="1:103" ht="159" customHeight="1">
      <c r="A114" s="15"/>
      <c r="B114" s="82" t="s">
        <v>307</v>
      </c>
      <c r="C114" s="37">
        <v>825</v>
      </c>
      <c r="D114" s="38" t="s">
        <v>319</v>
      </c>
      <c r="E114" s="15" t="s">
        <v>306</v>
      </c>
      <c r="F114" s="28">
        <f t="shared" si="100"/>
        <v>20960.3</v>
      </c>
      <c r="G114" s="34">
        <v>628.79999999999995</v>
      </c>
      <c r="H114" s="34">
        <v>20331.5</v>
      </c>
      <c r="I114" s="34"/>
      <c r="J114" s="29">
        <f t="shared" si="117"/>
        <v>0</v>
      </c>
      <c r="K114" s="34"/>
      <c r="L114" s="34"/>
      <c r="M114" s="34"/>
      <c r="N114" s="28">
        <f t="shared" si="118"/>
        <v>35536.400000000001</v>
      </c>
      <c r="O114" s="34">
        <v>1066.0999999999999</v>
      </c>
      <c r="P114" s="34">
        <v>34470.300000000003</v>
      </c>
      <c r="Q114" s="34"/>
      <c r="R114" s="28">
        <f t="shared" si="119"/>
        <v>6868.2</v>
      </c>
      <c r="S114" s="34">
        <v>206</v>
      </c>
      <c r="T114" s="34">
        <v>6662.2</v>
      </c>
      <c r="U114" s="34"/>
      <c r="V114" s="75">
        <f t="shared" si="104"/>
        <v>0</v>
      </c>
      <c r="W114" s="2"/>
      <c r="X114" s="2"/>
    </row>
    <row r="115" spans="1:103" s="83" customFormat="1" ht="33">
      <c r="A115" s="20" t="s">
        <v>84</v>
      </c>
      <c r="B115" s="72" t="s">
        <v>85</v>
      </c>
      <c r="C115" s="22" t="s">
        <v>12</v>
      </c>
      <c r="D115" s="22" t="s">
        <v>12</v>
      </c>
      <c r="E115" s="22" t="s">
        <v>12</v>
      </c>
      <c r="F115" s="53">
        <f t="shared" si="100"/>
        <v>2750884.2</v>
      </c>
      <c r="G115" s="53">
        <f>G116+G119+G124+G127</f>
        <v>326894.40000000002</v>
      </c>
      <c r="H115" s="53">
        <f>H116+H119+H124+H127</f>
        <v>2155126.5</v>
      </c>
      <c r="I115" s="53">
        <f>I116+I119+I124+I127</f>
        <v>268863.3</v>
      </c>
      <c r="J115" s="53">
        <f t="shared" si="117"/>
        <v>445164.9</v>
      </c>
      <c r="K115" s="53">
        <f>K116+K119+K124+K127</f>
        <v>28784.2</v>
      </c>
      <c r="L115" s="53">
        <f>L116+L119+L124+L127</f>
        <v>378979</v>
      </c>
      <c r="M115" s="53">
        <f>M116+M119+M124+M127</f>
        <v>37401.699999999997</v>
      </c>
      <c r="N115" s="53">
        <f t="shared" si="118"/>
        <v>1344754.4</v>
      </c>
      <c r="O115" s="53">
        <f>O116+O119+O124+O127</f>
        <v>122928.6</v>
      </c>
      <c r="P115" s="53">
        <f>P116+P119+P124+P127</f>
        <v>1148010.2</v>
      </c>
      <c r="Q115" s="53">
        <f>Q116+Q119+Q124+Q127</f>
        <v>73815.600000000006</v>
      </c>
      <c r="R115" s="53">
        <f t="shared" si="119"/>
        <v>2072825.9</v>
      </c>
      <c r="S115" s="53">
        <f>S116+S119+S124+S127</f>
        <v>71591.3</v>
      </c>
      <c r="T115" s="53">
        <f>T116+T119+T124+T127</f>
        <v>1942951.8</v>
      </c>
      <c r="U115" s="53">
        <f>U116+U119+U124+U127</f>
        <v>58282.8</v>
      </c>
      <c r="V115" s="54">
        <f t="shared" si="104"/>
        <v>0.16200000000000001</v>
      </c>
      <c r="W115" s="2"/>
      <c r="X115" s="2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</row>
    <row r="116" spans="1:103" ht="33">
      <c r="A116" s="12" t="s">
        <v>86</v>
      </c>
      <c r="B116" s="26" t="s">
        <v>87</v>
      </c>
      <c r="C116" s="40" t="s">
        <v>12</v>
      </c>
      <c r="D116" s="40" t="s">
        <v>12</v>
      </c>
      <c r="E116" s="40" t="s">
        <v>12</v>
      </c>
      <c r="F116" s="28">
        <f t="shared" si="100"/>
        <v>401300.6</v>
      </c>
      <c r="G116" s="29">
        <f>SUM(G118:G118)</f>
        <v>11392.2</v>
      </c>
      <c r="H116" s="29">
        <f>SUM(H118:H118)</f>
        <v>368346.9</v>
      </c>
      <c r="I116" s="29">
        <f>SUM(I118:I118)</f>
        <v>21561.5</v>
      </c>
      <c r="J116" s="28">
        <f t="shared" si="117"/>
        <v>118175.8</v>
      </c>
      <c r="K116" s="29">
        <f>SUM(K118:K118)</f>
        <v>3354.8</v>
      </c>
      <c r="L116" s="29">
        <f>SUM(L118:L118)</f>
        <v>108472.8</v>
      </c>
      <c r="M116" s="29">
        <f>SUM(M118:M118)</f>
        <v>6348.2</v>
      </c>
      <c r="N116" s="28">
        <f t="shared" si="118"/>
        <v>399056</v>
      </c>
      <c r="O116" s="29">
        <f>SUM(O118:O118)</f>
        <v>11229.3</v>
      </c>
      <c r="P116" s="29">
        <f>SUM(P118:P118)</f>
        <v>363080.5</v>
      </c>
      <c r="Q116" s="29">
        <f>SUM(Q118:Q118)</f>
        <v>24746.2</v>
      </c>
      <c r="R116" s="28">
        <f t="shared" si="119"/>
        <v>383406</v>
      </c>
      <c r="S116" s="29">
        <f>SUM(S118:S118)</f>
        <v>11229.3</v>
      </c>
      <c r="T116" s="29">
        <f>SUM(T118:T118)</f>
        <v>363080.5</v>
      </c>
      <c r="U116" s="29">
        <f>SUM(U118:U118)</f>
        <v>9096.2000000000007</v>
      </c>
      <c r="V116" s="41">
        <f t="shared" si="104"/>
        <v>0.29399999999999998</v>
      </c>
      <c r="W116" s="76" t="s">
        <v>363</v>
      </c>
      <c r="X116" s="2"/>
    </row>
    <row r="117" spans="1:103" ht="18.75">
      <c r="A117" s="15"/>
      <c r="B117" s="32" t="s">
        <v>15</v>
      </c>
      <c r="C117" s="67"/>
      <c r="D117" s="67"/>
      <c r="E117" s="67"/>
      <c r="F117" s="28"/>
      <c r="G117" s="29"/>
      <c r="H117" s="29"/>
      <c r="I117" s="29"/>
      <c r="J117" s="28"/>
      <c r="K117" s="29"/>
      <c r="L117" s="29"/>
      <c r="M117" s="29"/>
      <c r="N117" s="28"/>
      <c r="O117" s="29"/>
      <c r="P117" s="29"/>
      <c r="Q117" s="29"/>
      <c r="R117" s="28"/>
      <c r="S117" s="29"/>
      <c r="T117" s="29"/>
      <c r="U117" s="29"/>
      <c r="V117" s="41"/>
      <c r="W117" s="2"/>
      <c r="X117" s="2"/>
    </row>
    <row r="118" spans="1:103" ht="36.75" customHeight="1">
      <c r="A118" s="15"/>
      <c r="B118" s="36" t="s">
        <v>88</v>
      </c>
      <c r="C118" s="68">
        <v>821</v>
      </c>
      <c r="D118" s="69" t="s">
        <v>19</v>
      </c>
      <c r="E118" s="37" t="s">
        <v>193</v>
      </c>
      <c r="F118" s="28">
        <f t="shared" si="100"/>
        <v>401300.6</v>
      </c>
      <c r="G118" s="34">
        <v>11392.2</v>
      </c>
      <c r="H118" s="34">
        <v>368346.9</v>
      </c>
      <c r="I118" s="34">
        <v>21561.5</v>
      </c>
      <c r="J118" s="28">
        <f t="shared" ref="J118:J119" si="120">K118+L118+M118</f>
        <v>118175.8</v>
      </c>
      <c r="K118" s="34">
        <f>878.9+889.4+1586.5</f>
        <v>3354.8</v>
      </c>
      <c r="L118" s="34">
        <f>28417.8+28757.7+51297.3</f>
        <v>108472.8</v>
      </c>
      <c r="M118" s="34">
        <v>6348.2</v>
      </c>
      <c r="N118" s="28">
        <f t="shared" ref="N118:N119" si="121">O118+P118+Q118</f>
        <v>399056</v>
      </c>
      <c r="O118" s="34">
        <v>11229.3</v>
      </c>
      <c r="P118" s="34">
        <v>363080.5</v>
      </c>
      <c r="Q118" s="34">
        <v>24746.2</v>
      </c>
      <c r="R118" s="28">
        <f t="shared" ref="R118:R119" si="122">S118+T118+U118</f>
        <v>383406</v>
      </c>
      <c r="S118" s="34">
        <v>11229.3</v>
      </c>
      <c r="T118" s="34">
        <v>363080.5</v>
      </c>
      <c r="U118" s="34">
        <v>9096.2000000000007</v>
      </c>
      <c r="V118" s="75">
        <f t="shared" si="104"/>
        <v>0.29399999999999998</v>
      </c>
      <c r="W118" s="2"/>
      <c r="X118" s="2"/>
    </row>
    <row r="119" spans="1:103" ht="49.5">
      <c r="A119" s="12" t="s">
        <v>89</v>
      </c>
      <c r="B119" s="26" t="s">
        <v>299</v>
      </c>
      <c r="C119" s="40" t="s">
        <v>12</v>
      </c>
      <c r="D119" s="40" t="s">
        <v>12</v>
      </c>
      <c r="E119" s="40" t="s">
        <v>12</v>
      </c>
      <c r="F119" s="28">
        <f t="shared" si="100"/>
        <v>1813240.1</v>
      </c>
      <c r="G119" s="29">
        <f>SUM(G121:G123)</f>
        <v>240494.3</v>
      </c>
      <c r="H119" s="29">
        <f>SUM(H121:H123)</f>
        <v>1334645.7</v>
      </c>
      <c r="I119" s="29">
        <v>238100.1</v>
      </c>
      <c r="J119" s="28">
        <f t="shared" si="120"/>
        <v>218457.2</v>
      </c>
      <c r="K119" s="29">
        <f>SUM(K121:K123)</f>
        <v>4074.8</v>
      </c>
      <c r="L119" s="29">
        <f>SUM(L121:L123)</f>
        <v>184123.5</v>
      </c>
      <c r="M119" s="29">
        <v>30258.9</v>
      </c>
      <c r="N119" s="28">
        <f t="shared" si="121"/>
        <v>692404.7</v>
      </c>
      <c r="O119" s="29">
        <f>SUM(O121:O123)</f>
        <v>92945.5</v>
      </c>
      <c r="P119" s="29">
        <f>SUM(P121:P123)</f>
        <v>550389.80000000005</v>
      </c>
      <c r="Q119" s="29">
        <v>49069.4</v>
      </c>
      <c r="R119" s="28">
        <f t="shared" si="122"/>
        <v>1468253.1</v>
      </c>
      <c r="S119" s="29">
        <f>SUM(S121:S123)</f>
        <v>42575.5</v>
      </c>
      <c r="T119" s="29">
        <f>SUM(T121:T123)</f>
        <v>1376608.2</v>
      </c>
      <c r="U119" s="29">
        <v>49069.4</v>
      </c>
      <c r="V119" s="41">
        <f t="shared" si="104"/>
        <v>0.12</v>
      </c>
      <c r="W119" s="76" t="s">
        <v>364</v>
      </c>
      <c r="X119" s="2"/>
    </row>
    <row r="120" spans="1:103" ht="18.75">
      <c r="A120" s="12"/>
      <c r="B120" s="78" t="s">
        <v>15</v>
      </c>
      <c r="C120" s="70"/>
      <c r="D120" s="70"/>
      <c r="E120" s="70"/>
      <c r="F120" s="28"/>
      <c r="G120" s="29"/>
      <c r="H120" s="29"/>
      <c r="I120" s="29"/>
      <c r="J120" s="28"/>
      <c r="K120" s="29"/>
      <c r="L120" s="29"/>
      <c r="M120" s="29"/>
      <c r="N120" s="28"/>
      <c r="O120" s="29"/>
      <c r="P120" s="29"/>
      <c r="Q120" s="29"/>
      <c r="R120" s="28"/>
      <c r="S120" s="29"/>
      <c r="T120" s="29"/>
      <c r="U120" s="29"/>
      <c r="V120" s="41"/>
      <c r="W120" s="2"/>
      <c r="X120" s="2"/>
    </row>
    <row r="121" spans="1:103" ht="66">
      <c r="A121" s="12"/>
      <c r="B121" s="36" t="s">
        <v>134</v>
      </c>
      <c r="C121" s="68">
        <v>821</v>
      </c>
      <c r="D121" s="69" t="s">
        <v>19</v>
      </c>
      <c r="E121" s="37" t="s">
        <v>194</v>
      </c>
      <c r="F121" s="28">
        <f t="shared" si="100"/>
        <v>1354329.5</v>
      </c>
      <c r="G121" s="34"/>
      <c r="H121" s="34">
        <f>503521.8+693526.4+137597.5</f>
        <v>1334645.7</v>
      </c>
      <c r="I121" s="34">
        <v>19683.8</v>
      </c>
      <c r="J121" s="28">
        <f t="shared" ref="J121:J124" si="123">K121+L121+M121</f>
        <v>203807.3</v>
      </c>
      <c r="K121" s="34"/>
      <c r="L121" s="34">
        <f>56410.1+83666.1+44047.3</f>
        <v>184123.5</v>
      </c>
      <c r="M121" s="34">
        <v>19683.8</v>
      </c>
      <c r="N121" s="28">
        <f t="shared" ref="N121:N124" si="124">O121+P121+Q121</f>
        <v>550389.80000000005</v>
      </c>
      <c r="O121" s="34"/>
      <c r="P121" s="34">
        <f>687987.3-137597.5</f>
        <v>550389.80000000005</v>
      </c>
      <c r="Q121" s="34"/>
      <c r="R121" s="28">
        <f t="shared" ref="R121:R124" si="125">S121+T121+U121</f>
        <v>1376608.2</v>
      </c>
      <c r="S121" s="34"/>
      <c r="T121" s="34">
        <v>1376608.2</v>
      </c>
      <c r="U121" s="34"/>
      <c r="V121" s="75">
        <f t="shared" si="104"/>
        <v>0.15</v>
      </c>
      <c r="W121" s="2"/>
      <c r="X121" s="2"/>
    </row>
    <row r="122" spans="1:103" ht="47.25" customHeight="1">
      <c r="A122" s="12"/>
      <c r="B122" s="36" t="s">
        <v>334</v>
      </c>
      <c r="C122" s="68">
        <v>821</v>
      </c>
      <c r="D122" s="69" t="s">
        <v>19</v>
      </c>
      <c r="E122" s="37" t="s">
        <v>333</v>
      </c>
      <c r="F122" s="28">
        <f t="shared" ref="F122" si="126">G122+H122+I122</f>
        <v>3545.5</v>
      </c>
      <c r="G122" s="34">
        <v>3545.5</v>
      </c>
      <c r="H122" s="34"/>
      <c r="I122" s="34"/>
      <c r="J122" s="28">
        <f t="shared" ref="J122" si="127">K122+L122+M122</f>
        <v>3243.3</v>
      </c>
      <c r="K122" s="34">
        <f>2448.5+794.8</f>
        <v>3243.3</v>
      </c>
      <c r="L122" s="34"/>
      <c r="M122" s="34"/>
      <c r="N122" s="28">
        <f t="shared" ref="N122" si="128">O122+P122+Q122</f>
        <v>0</v>
      </c>
      <c r="O122" s="34"/>
      <c r="P122" s="34"/>
      <c r="Q122" s="34"/>
      <c r="R122" s="28">
        <f t="shared" ref="R122" si="129">S122+T122+U122</f>
        <v>0</v>
      </c>
      <c r="S122" s="34"/>
      <c r="T122" s="34"/>
      <c r="U122" s="34"/>
      <c r="V122" s="75">
        <f t="shared" ref="V122" si="130">J122/F122</f>
        <v>0.91500000000000004</v>
      </c>
      <c r="W122" s="2"/>
      <c r="X122" s="2"/>
    </row>
    <row r="123" spans="1:103" ht="44.25" customHeight="1">
      <c r="A123" s="15"/>
      <c r="B123" s="36" t="s">
        <v>135</v>
      </c>
      <c r="C123" s="68">
        <v>821</v>
      </c>
      <c r="D123" s="69" t="s">
        <v>19</v>
      </c>
      <c r="E123" s="68" t="s">
        <v>234</v>
      </c>
      <c r="F123" s="28">
        <f t="shared" si="100"/>
        <v>239130.4</v>
      </c>
      <c r="G123" s="34">
        <v>236948.8</v>
      </c>
      <c r="H123" s="34"/>
      <c r="I123" s="34">
        <v>2181.6</v>
      </c>
      <c r="J123" s="28">
        <f t="shared" si="123"/>
        <v>3013.1</v>
      </c>
      <c r="K123" s="34">
        <f>80+557.7+193.8</f>
        <v>831.5</v>
      </c>
      <c r="L123" s="34"/>
      <c r="M123" s="34">
        <v>2181.6</v>
      </c>
      <c r="N123" s="28">
        <f t="shared" si="124"/>
        <v>92945.5</v>
      </c>
      <c r="O123" s="34">
        <v>92945.5</v>
      </c>
      <c r="P123" s="34"/>
      <c r="Q123" s="34"/>
      <c r="R123" s="28">
        <f t="shared" si="125"/>
        <v>42575.5</v>
      </c>
      <c r="S123" s="34">
        <v>42575.5</v>
      </c>
      <c r="T123" s="34"/>
      <c r="U123" s="34"/>
      <c r="V123" s="75">
        <f t="shared" si="104"/>
        <v>1.2999999999999999E-2</v>
      </c>
      <c r="W123" s="2"/>
      <c r="X123" s="2"/>
    </row>
    <row r="124" spans="1:103" ht="27.75" customHeight="1">
      <c r="A124" s="12" t="s">
        <v>297</v>
      </c>
      <c r="B124" s="26" t="s">
        <v>298</v>
      </c>
      <c r="C124" s="70" t="s">
        <v>12</v>
      </c>
      <c r="D124" s="70" t="s">
        <v>12</v>
      </c>
      <c r="E124" s="70" t="s">
        <v>12</v>
      </c>
      <c r="F124" s="28">
        <f t="shared" si="100"/>
        <v>163570.5</v>
      </c>
      <c r="G124" s="29">
        <f t="shared" ref="G124:T124" si="131">G126</f>
        <v>33786.300000000003</v>
      </c>
      <c r="H124" s="29">
        <f t="shared" si="131"/>
        <v>127984.2</v>
      </c>
      <c r="I124" s="29">
        <f t="shared" ref="I124" si="132">I126</f>
        <v>1800</v>
      </c>
      <c r="J124" s="28">
        <f t="shared" si="123"/>
        <v>41433.1</v>
      </c>
      <c r="K124" s="29">
        <f t="shared" ref="K124:M124" si="133">K126</f>
        <v>8566.9</v>
      </c>
      <c r="L124" s="29">
        <f t="shared" si="133"/>
        <v>32451.9</v>
      </c>
      <c r="M124" s="29">
        <f t="shared" si="133"/>
        <v>414.3</v>
      </c>
      <c r="N124" s="28">
        <f t="shared" si="124"/>
        <v>0</v>
      </c>
      <c r="O124" s="29">
        <f t="shared" si="131"/>
        <v>0</v>
      </c>
      <c r="P124" s="29">
        <f t="shared" si="131"/>
        <v>0</v>
      </c>
      <c r="Q124" s="29">
        <f t="shared" si="131"/>
        <v>0</v>
      </c>
      <c r="R124" s="28">
        <f t="shared" si="125"/>
        <v>0</v>
      </c>
      <c r="S124" s="29">
        <f t="shared" si="131"/>
        <v>0</v>
      </c>
      <c r="T124" s="29">
        <f t="shared" si="131"/>
        <v>0</v>
      </c>
      <c r="U124" s="29">
        <f t="shared" ref="U124" si="134">U126</f>
        <v>0</v>
      </c>
      <c r="V124" s="30">
        <f t="shared" si="104"/>
        <v>0.253</v>
      </c>
      <c r="W124" s="76" t="s">
        <v>363</v>
      </c>
      <c r="X124" s="2"/>
    </row>
    <row r="125" spans="1:103" ht="18.75">
      <c r="A125" s="15"/>
      <c r="B125" s="78" t="s">
        <v>15</v>
      </c>
      <c r="C125" s="67"/>
      <c r="D125" s="79"/>
      <c r="E125" s="67"/>
      <c r="F125" s="28"/>
      <c r="G125" s="34"/>
      <c r="H125" s="34"/>
      <c r="I125" s="34"/>
      <c r="J125" s="28"/>
      <c r="K125" s="34"/>
      <c r="L125" s="34"/>
      <c r="M125" s="34"/>
      <c r="N125" s="28"/>
      <c r="O125" s="34"/>
      <c r="P125" s="34"/>
      <c r="Q125" s="34"/>
      <c r="R125" s="28"/>
      <c r="S125" s="34"/>
      <c r="T125" s="34"/>
      <c r="U125" s="34"/>
      <c r="V125" s="75"/>
      <c r="W125" s="2"/>
      <c r="X125" s="2"/>
    </row>
    <row r="126" spans="1:103" ht="44.25" customHeight="1">
      <c r="A126" s="15"/>
      <c r="B126" s="36" t="s">
        <v>300</v>
      </c>
      <c r="C126" s="68">
        <v>821</v>
      </c>
      <c r="D126" s="69" t="s">
        <v>19</v>
      </c>
      <c r="E126" s="68" t="s">
        <v>301</v>
      </c>
      <c r="F126" s="28">
        <f t="shared" si="100"/>
        <v>163570.5</v>
      </c>
      <c r="G126" s="34">
        <v>33786.300000000003</v>
      </c>
      <c r="H126" s="34">
        <v>127984.2</v>
      </c>
      <c r="I126" s="34">
        <v>1800</v>
      </c>
      <c r="J126" s="28">
        <f t="shared" ref="J126:J127" si="135">K126+L126+M126</f>
        <v>41433.1</v>
      </c>
      <c r="K126" s="34">
        <f>204+8362.9</f>
        <v>8566.9</v>
      </c>
      <c r="L126" s="34">
        <f>772.8+31679.1</f>
        <v>32451.9</v>
      </c>
      <c r="M126" s="34">
        <v>414.3</v>
      </c>
      <c r="N126" s="28">
        <f t="shared" ref="N126:N127" si="136">O126+P126+Q126</f>
        <v>0</v>
      </c>
      <c r="O126" s="34"/>
      <c r="P126" s="34"/>
      <c r="Q126" s="34"/>
      <c r="R126" s="28">
        <f t="shared" ref="R126:R127" si="137">S126+T126+U126</f>
        <v>0</v>
      </c>
      <c r="S126" s="34"/>
      <c r="T126" s="34"/>
      <c r="U126" s="34"/>
      <c r="V126" s="75">
        <f t="shared" si="104"/>
        <v>0.253</v>
      </c>
      <c r="W126" s="2"/>
      <c r="X126" s="2"/>
    </row>
    <row r="127" spans="1:103" ht="18.75">
      <c r="A127" s="12" t="s">
        <v>303</v>
      </c>
      <c r="B127" s="26" t="s">
        <v>99</v>
      </c>
      <c r="C127" s="70" t="s">
        <v>12</v>
      </c>
      <c r="D127" s="70" t="s">
        <v>12</v>
      </c>
      <c r="E127" s="70" t="s">
        <v>12</v>
      </c>
      <c r="F127" s="28">
        <f>G127+H127+I127</f>
        <v>372773</v>
      </c>
      <c r="G127" s="29">
        <f>G129+G131+G130</f>
        <v>41221.599999999999</v>
      </c>
      <c r="H127" s="29">
        <f t="shared" ref="H127:I127" si="138">H129+H131+H130</f>
        <v>324149.7</v>
      </c>
      <c r="I127" s="29">
        <f t="shared" si="138"/>
        <v>7401.7</v>
      </c>
      <c r="J127" s="28">
        <f t="shared" si="135"/>
        <v>67098.8</v>
      </c>
      <c r="K127" s="29">
        <f>K129+K131+K130</f>
        <v>12787.7</v>
      </c>
      <c r="L127" s="29">
        <f t="shared" ref="L127:M127" si="139">L129+L131+L130</f>
        <v>53930.8</v>
      </c>
      <c r="M127" s="29">
        <f t="shared" si="139"/>
        <v>380.3</v>
      </c>
      <c r="N127" s="28">
        <f t="shared" si="136"/>
        <v>253293.7</v>
      </c>
      <c r="O127" s="29">
        <f>O129+O131+O130</f>
        <v>18753.8</v>
      </c>
      <c r="P127" s="29">
        <f t="shared" ref="P127:Q127" si="140">P129+P131+P130</f>
        <v>234539.9</v>
      </c>
      <c r="Q127" s="29">
        <f t="shared" si="140"/>
        <v>0</v>
      </c>
      <c r="R127" s="28">
        <f t="shared" si="137"/>
        <v>221166.8</v>
      </c>
      <c r="S127" s="29">
        <f>S129+S131+S130</f>
        <v>17786.5</v>
      </c>
      <c r="T127" s="29">
        <f t="shared" ref="T127:U127" si="141">T129+T131+T130</f>
        <v>203263.1</v>
      </c>
      <c r="U127" s="29">
        <f t="shared" si="141"/>
        <v>117.2</v>
      </c>
      <c r="V127" s="30">
        <f t="shared" si="104"/>
        <v>0.18</v>
      </c>
      <c r="W127" s="76" t="s">
        <v>364</v>
      </c>
      <c r="X127" s="2"/>
    </row>
    <row r="128" spans="1:103" ht="18.75">
      <c r="A128" s="15"/>
      <c r="B128" s="78" t="s">
        <v>15</v>
      </c>
      <c r="C128" s="33"/>
      <c r="D128" s="45"/>
      <c r="E128" s="67"/>
      <c r="F128" s="28"/>
      <c r="G128" s="34"/>
      <c r="H128" s="34"/>
      <c r="I128" s="34"/>
      <c r="J128" s="28"/>
      <c r="K128" s="34"/>
      <c r="L128" s="34"/>
      <c r="M128" s="34"/>
      <c r="N128" s="28"/>
      <c r="O128" s="34"/>
      <c r="P128" s="34"/>
      <c r="Q128" s="34"/>
      <c r="R128" s="28"/>
      <c r="S128" s="34"/>
      <c r="T128" s="34"/>
      <c r="U128" s="34"/>
      <c r="V128" s="75"/>
      <c r="W128" s="2"/>
      <c r="X128" s="2"/>
    </row>
    <row r="129" spans="1:103" ht="73.5" customHeight="1">
      <c r="A129" s="15"/>
      <c r="B129" s="36" t="s">
        <v>236</v>
      </c>
      <c r="C129" s="68">
        <v>828</v>
      </c>
      <c r="D129" s="69" t="s">
        <v>101</v>
      </c>
      <c r="E129" s="68" t="s">
        <v>305</v>
      </c>
      <c r="F129" s="28">
        <f t="shared" si="100"/>
        <v>11500</v>
      </c>
      <c r="G129" s="34">
        <v>11500</v>
      </c>
      <c r="H129" s="34"/>
      <c r="I129" s="34"/>
      <c r="J129" s="28">
        <f t="shared" ref="J129:J133" si="142">K129+L129+M129</f>
        <v>11500</v>
      </c>
      <c r="K129" s="34">
        <v>11500</v>
      </c>
      <c r="L129" s="34"/>
      <c r="M129" s="34"/>
      <c r="N129" s="28">
        <f t="shared" ref="N129:N133" si="143">O129+P129+Q129</f>
        <v>11500</v>
      </c>
      <c r="O129" s="34">
        <v>11500</v>
      </c>
      <c r="P129" s="34"/>
      <c r="Q129" s="34"/>
      <c r="R129" s="28">
        <f t="shared" ref="R129:R133" si="144">S129+T129+U129</f>
        <v>11500</v>
      </c>
      <c r="S129" s="34">
        <v>11500</v>
      </c>
      <c r="T129" s="34"/>
      <c r="U129" s="34"/>
      <c r="V129" s="75">
        <f t="shared" si="104"/>
        <v>1</v>
      </c>
      <c r="W129" s="2"/>
      <c r="X129" s="2"/>
    </row>
    <row r="130" spans="1:103" ht="51" customHeight="1">
      <c r="A130" s="15"/>
      <c r="B130" s="36" t="s">
        <v>338</v>
      </c>
      <c r="C130" s="68">
        <v>828</v>
      </c>
      <c r="D130" s="69" t="s">
        <v>101</v>
      </c>
      <c r="E130" s="68" t="s">
        <v>337</v>
      </c>
      <c r="F130" s="28">
        <f t="shared" ref="F130" si="145">G130+H130+I130</f>
        <v>17139.599999999999</v>
      </c>
      <c r="G130" s="34">
        <v>12000</v>
      </c>
      <c r="H130" s="34"/>
      <c r="I130" s="34">
        <v>5139.6000000000004</v>
      </c>
      <c r="J130" s="28">
        <f t="shared" ref="J130" si="146">K130+L130+M130</f>
        <v>0</v>
      </c>
      <c r="K130" s="34"/>
      <c r="L130" s="34"/>
      <c r="M130" s="34"/>
      <c r="N130" s="28">
        <f t="shared" ref="N130" si="147">O130+P130+Q130</f>
        <v>0</v>
      </c>
      <c r="O130" s="34"/>
      <c r="P130" s="34"/>
      <c r="Q130" s="34"/>
      <c r="R130" s="28">
        <f t="shared" ref="R130" si="148">S130+T130+U130</f>
        <v>0</v>
      </c>
      <c r="S130" s="34"/>
      <c r="T130" s="34"/>
      <c r="U130" s="34"/>
      <c r="V130" s="75">
        <f t="shared" ref="V130" si="149">J130/F130</f>
        <v>0</v>
      </c>
      <c r="W130" s="2"/>
      <c r="X130" s="2"/>
    </row>
    <row r="131" spans="1:103" ht="53.25" customHeight="1">
      <c r="A131" s="15"/>
      <c r="B131" s="36" t="s">
        <v>100</v>
      </c>
      <c r="C131" s="68">
        <v>828</v>
      </c>
      <c r="D131" s="69" t="s">
        <v>101</v>
      </c>
      <c r="E131" s="37" t="s">
        <v>304</v>
      </c>
      <c r="F131" s="28">
        <f t="shared" si="100"/>
        <v>344133.4</v>
      </c>
      <c r="G131" s="34">
        <v>17721.599999999999</v>
      </c>
      <c r="H131" s="34">
        <v>324149.7</v>
      </c>
      <c r="I131" s="34">
        <v>2262.1</v>
      </c>
      <c r="J131" s="28">
        <f t="shared" si="142"/>
        <v>55598.8</v>
      </c>
      <c r="K131" s="34">
        <f>1118.9+5.6+163.2</f>
        <v>1287.7</v>
      </c>
      <c r="L131" s="34">
        <f>47119.5+223.9+6587.4</f>
        <v>53930.8</v>
      </c>
      <c r="M131" s="34">
        <v>380.3</v>
      </c>
      <c r="N131" s="28">
        <f t="shared" si="143"/>
        <v>241793.7</v>
      </c>
      <c r="O131" s="34">
        <v>7253.8</v>
      </c>
      <c r="P131" s="34">
        <v>234539.9</v>
      </c>
      <c r="Q131" s="34"/>
      <c r="R131" s="28">
        <f t="shared" si="144"/>
        <v>209666.8</v>
      </c>
      <c r="S131" s="34">
        <v>6286.5</v>
      </c>
      <c r="T131" s="34">
        <v>203263.1</v>
      </c>
      <c r="U131" s="34">
        <v>117.2</v>
      </c>
      <c r="V131" s="75">
        <f t="shared" si="104"/>
        <v>0.16200000000000001</v>
      </c>
      <c r="W131" s="2"/>
      <c r="X131" s="2"/>
    </row>
    <row r="132" spans="1:103" s="83" customFormat="1" ht="28.5" customHeight="1">
      <c r="A132" s="20" t="s">
        <v>90</v>
      </c>
      <c r="B132" s="21" t="s">
        <v>91</v>
      </c>
      <c r="C132" s="22" t="s">
        <v>12</v>
      </c>
      <c r="D132" s="22" t="s">
        <v>12</v>
      </c>
      <c r="E132" s="22" t="s">
        <v>12</v>
      </c>
      <c r="F132" s="53">
        <f t="shared" si="100"/>
        <v>223898.2</v>
      </c>
      <c r="G132" s="53">
        <f>G133+G139+G143</f>
        <v>19091.900000000001</v>
      </c>
      <c r="H132" s="53">
        <f>H133+H139+H143</f>
        <v>199684.7</v>
      </c>
      <c r="I132" s="53">
        <f>I133+I139+I143</f>
        <v>5121.6000000000004</v>
      </c>
      <c r="J132" s="53">
        <f t="shared" si="142"/>
        <v>80602</v>
      </c>
      <c r="K132" s="53">
        <f>K133+K139+K143</f>
        <v>8072.7</v>
      </c>
      <c r="L132" s="53">
        <f>L133+L139+L143</f>
        <v>70590.5</v>
      </c>
      <c r="M132" s="53">
        <f>M133+M139+M143</f>
        <v>1938.8</v>
      </c>
      <c r="N132" s="53">
        <f t="shared" si="143"/>
        <v>118123.7</v>
      </c>
      <c r="O132" s="53">
        <f>O133+O139+O143</f>
        <v>15856.7</v>
      </c>
      <c r="P132" s="53">
        <f>P133+P139+P143</f>
        <v>98240.7</v>
      </c>
      <c r="Q132" s="53">
        <f>Q133+Q139+Q143</f>
        <v>4026.3</v>
      </c>
      <c r="R132" s="53">
        <f t="shared" si="144"/>
        <v>136445</v>
      </c>
      <c r="S132" s="53">
        <f>S133+S139+S143</f>
        <v>13972.2</v>
      </c>
      <c r="T132" s="53">
        <f>T133+T139+T143</f>
        <v>118402.8</v>
      </c>
      <c r="U132" s="53">
        <f>U133+U139+U143</f>
        <v>4070</v>
      </c>
      <c r="V132" s="54">
        <f t="shared" si="104"/>
        <v>0.36</v>
      </c>
      <c r="W132" s="2"/>
      <c r="X132" s="2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</row>
    <row r="133" spans="1:103" ht="33">
      <c r="A133" s="12" t="s">
        <v>92</v>
      </c>
      <c r="B133" s="26" t="s">
        <v>93</v>
      </c>
      <c r="C133" s="40" t="s">
        <v>12</v>
      </c>
      <c r="D133" s="40" t="s">
        <v>12</v>
      </c>
      <c r="E133" s="40" t="s">
        <v>12</v>
      </c>
      <c r="F133" s="29">
        <f t="shared" si="100"/>
        <v>124668.6</v>
      </c>
      <c r="G133" s="29">
        <f t="shared" ref="G133:H133" si="150">SUM(G135:G137)</f>
        <v>0</v>
      </c>
      <c r="H133" s="29">
        <f t="shared" si="150"/>
        <v>124668.6</v>
      </c>
      <c r="I133" s="29">
        <f t="shared" ref="I133" si="151">SUM(I135:I137)</f>
        <v>0</v>
      </c>
      <c r="J133" s="29">
        <f t="shared" si="142"/>
        <v>42192.4</v>
      </c>
      <c r="K133" s="29">
        <f t="shared" ref="K133:M133" si="152">SUM(K135:K137)</f>
        <v>0</v>
      </c>
      <c r="L133" s="29">
        <f t="shared" si="152"/>
        <v>42192.4</v>
      </c>
      <c r="M133" s="29">
        <f t="shared" si="152"/>
        <v>0</v>
      </c>
      <c r="N133" s="28">
        <f t="shared" si="143"/>
        <v>16019.4</v>
      </c>
      <c r="O133" s="29">
        <f t="shared" ref="O133:T133" si="153">SUM(O135:O137)</f>
        <v>0</v>
      </c>
      <c r="P133" s="29">
        <f t="shared" si="153"/>
        <v>16019.4</v>
      </c>
      <c r="Q133" s="29">
        <f t="shared" si="153"/>
        <v>0</v>
      </c>
      <c r="R133" s="28">
        <f t="shared" si="144"/>
        <v>10689.4</v>
      </c>
      <c r="S133" s="29">
        <f t="shared" si="153"/>
        <v>0</v>
      </c>
      <c r="T133" s="29">
        <f t="shared" si="153"/>
        <v>10689.4</v>
      </c>
      <c r="U133" s="29">
        <f t="shared" ref="U133" si="154">SUM(U135:U137)</f>
        <v>0</v>
      </c>
      <c r="V133" s="41">
        <f t="shared" si="104"/>
        <v>0.33800000000000002</v>
      </c>
      <c r="W133" s="76" t="s">
        <v>360</v>
      </c>
      <c r="X133" s="2"/>
    </row>
    <row r="134" spans="1:103" ht="18.75">
      <c r="A134" s="15"/>
      <c r="B134" s="32" t="s">
        <v>15</v>
      </c>
      <c r="C134" s="67"/>
      <c r="D134" s="67"/>
      <c r="E134" s="67"/>
      <c r="F134" s="29"/>
      <c r="G134" s="29"/>
      <c r="H134" s="29"/>
      <c r="I134" s="29"/>
      <c r="J134" s="29"/>
      <c r="K134" s="29"/>
      <c r="L134" s="29"/>
      <c r="M134" s="29"/>
      <c r="N134" s="28"/>
      <c r="O134" s="29"/>
      <c r="P134" s="29"/>
      <c r="Q134" s="29"/>
      <c r="R134" s="28"/>
      <c r="S134" s="29"/>
      <c r="T134" s="29"/>
      <c r="U134" s="29"/>
      <c r="V134" s="41"/>
      <c r="W134" s="2"/>
      <c r="X134" s="2"/>
    </row>
    <row r="135" spans="1:103" ht="33">
      <c r="A135" s="15"/>
      <c r="B135" s="84" t="s">
        <v>94</v>
      </c>
      <c r="C135" s="68">
        <v>838</v>
      </c>
      <c r="D135" s="69" t="s">
        <v>95</v>
      </c>
      <c r="E135" s="68" t="s">
        <v>196</v>
      </c>
      <c r="F135" s="28">
        <f t="shared" ref="F135:F177" si="155">G135+H135+I135</f>
        <v>11116.9</v>
      </c>
      <c r="G135" s="34"/>
      <c r="H135" s="34">
        <v>11116.9</v>
      </c>
      <c r="I135" s="34"/>
      <c r="J135" s="29">
        <f t="shared" ref="J135:J137" si="156">K135+L135+M135</f>
        <v>3178.8</v>
      </c>
      <c r="K135" s="34"/>
      <c r="L135" s="34">
        <f>2034.6+548+596.2</f>
        <v>3178.8</v>
      </c>
      <c r="M135" s="34"/>
      <c r="N135" s="28">
        <f t="shared" ref="N135:N137" si="157">O135+P135+Q135</f>
        <v>10546.8</v>
      </c>
      <c r="O135" s="34"/>
      <c r="P135" s="34">
        <v>10546.8</v>
      </c>
      <c r="Q135" s="34"/>
      <c r="R135" s="28">
        <f t="shared" ref="R135:R137" si="158">S135+T135+U135</f>
        <v>10689.4</v>
      </c>
      <c r="S135" s="34"/>
      <c r="T135" s="34">
        <v>10689.4</v>
      </c>
      <c r="U135" s="34"/>
      <c r="V135" s="75">
        <f t="shared" ref="V135:V177" si="159">J135/F135</f>
        <v>0.28599999999999998</v>
      </c>
      <c r="W135" s="2"/>
      <c r="X135" s="2"/>
    </row>
    <row r="136" spans="1:103" ht="99.75" customHeight="1">
      <c r="A136" s="15"/>
      <c r="B136" s="36" t="s">
        <v>96</v>
      </c>
      <c r="C136" s="68">
        <v>838</v>
      </c>
      <c r="D136" s="69" t="s">
        <v>95</v>
      </c>
      <c r="E136" s="68" t="s">
        <v>197</v>
      </c>
      <c r="F136" s="28">
        <f t="shared" si="155"/>
        <v>14663.7</v>
      </c>
      <c r="G136" s="34"/>
      <c r="H136" s="34">
        <v>14663.7</v>
      </c>
      <c r="I136" s="34"/>
      <c r="J136" s="29">
        <f t="shared" si="156"/>
        <v>1347.8</v>
      </c>
      <c r="K136" s="34"/>
      <c r="L136" s="34">
        <f>269.7+423.4+654.7</f>
        <v>1347.8</v>
      </c>
      <c r="M136" s="34"/>
      <c r="N136" s="28">
        <f t="shared" si="157"/>
        <v>5472.6</v>
      </c>
      <c r="O136" s="34"/>
      <c r="P136" s="34">
        <v>5472.6</v>
      </c>
      <c r="Q136" s="34"/>
      <c r="R136" s="28">
        <f t="shared" si="158"/>
        <v>0</v>
      </c>
      <c r="S136" s="34"/>
      <c r="T136" s="34"/>
      <c r="U136" s="34"/>
      <c r="V136" s="75">
        <f t="shared" si="159"/>
        <v>9.1999999999999998E-2</v>
      </c>
      <c r="W136" s="2"/>
      <c r="X136" s="2"/>
    </row>
    <row r="137" spans="1:103" ht="90" customHeight="1">
      <c r="A137" s="15"/>
      <c r="B137" s="36" t="s">
        <v>97</v>
      </c>
      <c r="C137" s="68">
        <v>838</v>
      </c>
      <c r="D137" s="69" t="s">
        <v>95</v>
      </c>
      <c r="E137" s="68" t="s">
        <v>198</v>
      </c>
      <c r="F137" s="28">
        <f t="shared" si="155"/>
        <v>98888</v>
      </c>
      <c r="G137" s="34"/>
      <c r="H137" s="34">
        <v>98888</v>
      </c>
      <c r="I137" s="34"/>
      <c r="J137" s="29">
        <f t="shared" si="156"/>
        <v>37665.800000000003</v>
      </c>
      <c r="K137" s="34"/>
      <c r="L137" s="34">
        <f>2329.2+4127.4+31209.2</f>
        <v>37665.800000000003</v>
      </c>
      <c r="M137" s="34"/>
      <c r="N137" s="28">
        <f t="shared" si="157"/>
        <v>0</v>
      </c>
      <c r="O137" s="34"/>
      <c r="P137" s="34"/>
      <c r="Q137" s="34"/>
      <c r="R137" s="28">
        <f t="shared" si="158"/>
        <v>0</v>
      </c>
      <c r="S137" s="34"/>
      <c r="T137" s="34"/>
      <c r="U137" s="34"/>
      <c r="V137" s="75">
        <f t="shared" si="159"/>
        <v>0.38100000000000001</v>
      </c>
      <c r="W137" s="2"/>
      <c r="X137" s="2"/>
    </row>
    <row r="138" spans="1:103" ht="18.75">
      <c r="A138" s="15"/>
      <c r="B138" s="32" t="s">
        <v>15</v>
      </c>
      <c r="C138" s="67"/>
      <c r="D138" s="67"/>
      <c r="E138" s="67"/>
      <c r="F138" s="29"/>
      <c r="G138" s="29"/>
      <c r="H138" s="29"/>
      <c r="I138" s="29"/>
      <c r="J138" s="29"/>
      <c r="K138" s="29"/>
      <c r="L138" s="29"/>
      <c r="M138" s="29"/>
      <c r="N138" s="28"/>
      <c r="O138" s="29"/>
      <c r="P138" s="29"/>
      <c r="Q138" s="29"/>
      <c r="R138" s="28"/>
      <c r="S138" s="29"/>
      <c r="T138" s="29"/>
      <c r="U138" s="29"/>
      <c r="V138" s="41"/>
      <c r="W138" s="2"/>
      <c r="X138" s="2"/>
    </row>
    <row r="139" spans="1:103" ht="38.25" customHeight="1">
      <c r="A139" s="12" t="s">
        <v>98</v>
      </c>
      <c r="B139" s="26" t="s">
        <v>104</v>
      </c>
      <c r="C139" s="40" t="s">
        <v>12</v>
      </c>
      <c r="D139" s="40" t="s">
        <v>12</v>
      </c>
      <c r="E139" s="40" t="s">
        <v>12</v>
      </c>
      <c r="F139" s="28">
        <f t="shared" si="155"/>
        <v>3727.2</v>
      </c>
      <c r="G139" s="29">
        <f t="shared" ref="G139:T139" si="160">G142+G141</f>
        <v>3727.2</v>
      </c>
      <c r="H139" s="29">
        <f t="shared" si="160"/>
        <v>0</v>
      </c>
      <c r="I139" s="29">
        <f t="shared" ref="I139" si="161">I142+I141</f>
        <v>0</v>
      </c>
      <c r="J139" s="28">
        <f t="shared" ref="J139" si="162">K139+L139+M139</f>
        <v>2256.1999999999998</v>
      </c>
      <c r="K139" s="29">
        <f t="shared" ref="K139:M139" si="163">K142+K141</f>
        <v>2256.1999999999998</v>
      </c>
      <c r="L139" s="29">
        <f t="shared" si="163"/>
        <v>0</v>
      </c>
      <c r="M139" s="29">
        <f t="shared" si="163"/>
        <v>0</v>
      </c>
      <c r="N139" s="28">
        <f t="shared" ref="N139" si="164">O139+P139+Q139</f>
        <v>7697.2</v>
      </c>
      <c r="O139" s="29">
        <f t="shared" si="160"/>
        <v>4107.2</v>
      </c>
      <c r="P139" s="29">
        <f t="shared" si="160"/>
        <v>3590</v>
      </c>
      <c r="Q139" s="29">
        <f t="shared" si="160"/>
        <v>0</v>
      </c>
      <c r="R139" s="28">
        <f t="shared" ref="R139" si="165">S139+T139+U139</f>
        <v>27762.2</v>
      </c>
      <c r="S139" s="29">
        <f t="shared" si="160"/>
        <v>1762.2</v>
      </c>
      <c r="T139" s="29">
        <f t="shared" si="160"/>
        <v>26000</v>
      </c>
      <c r="U139" s="29">
        <f t="shared" ref="U139" si="166">U142+U141</f>
        <v>0</v>
      </c>
      <c r="V139" s="30">
        <f t="shared" si="159"/>
        <v>0.60499999999999998</v>
      </c>
      <c r="W139" s="76" t="s">
        <v>365</v>
      </c>
      <c r="X139" s="2"/>
    </row>
    <row r="140" spans="1:103" ht="18.75">
      <c r="A140" s="15"/>
      <c r="B140" s="32" t="s">
        <v>15</v>
      </c>
      <c r="C140" s="67"/>
      <c r="D140" s="67"/>
      <c r="E140" s="67"/>
      <c r="F140" s="29"/>
      <c r="G140" s="29"/>
      <c r="H140" s="29"/>
      <c r="I140" s="29"/>
      <c r="J140" s="29"/>
      <c r="K140" s="29"/>
      <c r="L140" s="29"/>
      <c r="M140" s="29"/>
      <c r="N140" s="28"/>
      <c r="O140" s="29"/>
      <c r="P140" s="29"/>
      <c r="Q140" s="29"/>
      <c r="R140" s="28"/>
      <c r="S140" s="29"/>
      <c r="T140" s="29"/>
      <c r="U140" s="29"/>
      <c r="V140" s="41"/>
      <c r="W140" s="2"/>
      <c r="X140" s="2"/>
    </row>
    <row r="141" spans="1:103" ht="49.5">
      <c r="A141" s="15"/>
      <c r="B141" s="36" t="s">
        <v>314</v>
      </c>
      <c r="C141" s="68">
        <v>810</v>
      </c>
      <c r="D141" s="69" t="s">
        <v>103</v>
      </c>
      <c r="E141" s="68" t="s">
        <v>315</v>
      </c>
      <c r="F141" s="29">
        <f t="shared" si="155"/>
        <v>0</v>
      </c>
      <c r="G141" s="29"/>
      <c r="H141" s="29"/>
      <c r="I141" s="29"/>
      <c r="J141" s="29">
        <f t="shared" ref="J141:J143" si="167">K141+L141+M141</f>
        <v>0</v>
      </c>
      <c r="K141" s="29"/>
      <c r="L141" s="29"/>
      <c r="M141" s="29"/>
      <c r="N141" s="28">
        <f t="shared" ref="N141:N143" si="168">O141+P141+Q141</f>
        <v>3590</v>
      </c>
      <c r="O141" s="29"/>
      <c r="P141" s="34">
        <v>3590</v>
      </c>
      <c r="Q141" s="29"/>
      <c r="R141" s="28">
        <f t="shared" ref="R141:R143" si="169">S141+T141+U141</f>
        <v>26000</v>
      </c>
      <c r="S141" s="29"/>
      <c r="T141" s="34">
        <v>26000</v>
      </c>
      <c r="U141" s="34"/>
      <c r="V141" s="41"/>
      <c r="W141" s="2"/>
      <c r="X141" s="2"/>
    </row>
    <row r="142" spans="1:103" ht="54.75" customHeight="1">
      <c r="A142" s="15"/>
      <c r="B142" s="36" t="s">
        <v>105</v>
      </c>
      <c r="C142" s="68">
        <v>810</v>
      </c>
      <c r="D142" s="69" t="s">
        <v>103</v>
      </c>
      <c r="E142" s="68" t="s">
        <v>195</v>
      </c>
      <c r="F142" s="28">
        <f t="shared" si="155"/>
        <v>3727.2</v>
      </c>
      <c r="G142" s="34">
        <f>1762.2+1965</f>
        <v>3727.2</v>
      </c>
      <c r="H142" s="34"/>
      <c r="I142" s="34"/>
      <c r="J142" s="29">
        <f t="shared" si="167"/>
        <v>2256.1999999999998</v>
      </c>
      <c r="K142" s="34">
        <v>2256.1999999999998</v>
      </c>
      <c r="L142" s="34"/>
      <c r="M142" s="34"/>
      <c r="N142" s="28">
        <f t="shared" si="168"/>
        <v>4107.2</v>
      </c>
      <c r="O142" s="34">
        <v>4107.2</v>
      </c>
      <c r="P142" s="34"/>
      <c r="Q142" s="34"/>
      <c r="R142" s="28">
        <f t="shared" si="169"/>
        <v>1762.2</v>
      </c>
      <c r="S142" s="34">
        <v>1762.2</v>
      </c>
      <c r="T142" s="34"/>
      <c r="U142" s="34"/>
      <c r="V142" s="75">
        <f t="shared" si="159"/>
        <v>0.60499999999999998</v>
      </c>
      <c r="W142" s="2"/>
      <c r="X142" s="2"/>
    </row>
    <row r="143" spans="1:103" s="9" customFormat="1" ht="26.25" customHeight="1">
      <c r="A143" s="25" t="s">
        <v>102</v>
      </c>
      <c r="B143" s="57" t="s">
        <v>200</v>
      </c>
      <c r="C143" s="74" t="s">
        <v>12</v>
      </c>
      <c r="D143" s="11" t="s">
        <v>12</v>
      </c>
      <c r="E143" s="74" t="s">
        <v>12</v>
      </c>
      <c r="F143" s="28">
        <f t="shared" si="155"/>
        <v>95502.399999999994</v>
      </c>
      <c r="G143" s="29">
        <f t="shared" ref="G143:H143" si="170">G145</f>
        <v>15364.7</v>
      </c>
      <c r="H143" s="29">
        <f t="shared" si="170"/>
        <v>75016.100000000006</v>
      </c>
      <c r="I143" s="29">
        <f t="shared" ref="I143" si="171">I145</f>
        <v>5121.6000000000004</v>
      </c>
      <c r="J143" s="29">
        <f t="shared" si="167"/>
        <v>36153.4</v>
      </c>
      <c r="K143" s="29">
        <f t="shared" ref="K143:M143" si="172">K145</f>
        <v>5816.5</v>
      </c>
      <c r="L143" s="29">
        <f t="shared" si="172"/>
        <v>28398.1</v>
      </c>
      <c r="M143" s="29">
        <f t="shared" si="172"/>
        <v>1938.8</v>
      </c>
      <c r="N143" s="29">
        <f t="shared" si="168"/>
        <v>94407.1</v>
      </c>
      <c r="O143" s="29">
        <f t="shared" ref="O143:T143" si="173">O145</f>
        <v>11749.5</v>
      </c>
      <c r="P143" s="29">
        <f t="shared" si="173"/>
        <v>78631.3</v>
      </c>
      <c r="Q143" s="29">
        <f t="shared" si="173"/>
        <v>4026.3</v>
      </c>
      <c r="R143" s="29">
        <f t="shared" si="169"/>
        <v>97993.4</v>
      </c>
      <c r="S143" s="29">
        <f t="shared" si="173"/>
        <v>12210</v>
      </c>
      <c r="T143" s="29">
        <f t="shared" si="173"/>
        <v>81713.399999999994</v>
      </c>
      <c r="U143" s="29">
        <f t="shared" ref="U143" si="174">U145</f>
        <v>4070</v>
      </c>
      <c r="V143" s="41">
        <f t="shared" si="159"/>
        <v>0.379</v>
      </c>
      <c r="W143" s="76" t="s">
        <v>365</v>
      </c>
      <c r="X143" s="2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</row>
    <row r="144" spans="1:103" ht="18.75">
      <c r="A144" s="15"/>
      <c r="B144" s="32" t="s">
        <v>15</v>
      </c>
      <c r="C144" s="67"/>
      <c r="D144" s="79"/>
      <c r="E144" s="67"/>
      <c r="F144" s="28"/>
      <c r="G144" s="29"/>
      <c r="H144" s="29"/>
      <c r="I144" s="29"/>
      <c r="J144" s="29"/>
      <c r="K144" s="29"/>
      <c r="L144" s="29"/>
      <c r="M144" s="29"/>
      <c r="N144" s="28"/>
      <c r="O144" s="29"/>
      <c r="P144" s="29"/>
      <c r="Q144" s="29"/>
      <c r="R144" s="28"/>
      <c r="S144" s="29"/>
      <c r="T144" s="29"/>
      <c r="U144" s="29"/>
      <c r="V144" s="41"/>
      <c r="W144" s="2"/>
      <c r="X144" s="2"/>
    </row>
    <row r="145" spans="1:103" ht="66">
      <c r="A145" s="15"/>
      <c r="B145" s="36" t="s">
        <v>202</v>
      </c>
      <c r="C145" s="68">
        <v>810</v>
      </c>
      <c r="D145" s="69" t="s">
        <v>103</v>
      </c>
      <c r="E145" s="37" t="s">
        <v>201</v>
      </c>
      <c r="F145" s="28">
        <f t="shared" si="155"/>
        <v>95502.399999999994</v>
      </c>
      <c r="G145" s="34">
        <v>15364.7</v>
      </c>
      <c r="H145" s="34">
        <v>75016.100000000006</v>
      </c>
      <c r="I145" s="34">
        <v>5121.6000000000004</v>
      </c>
      <c r="J145" s="29">
        <f t="shared" ref="J145:J147" si="175">K145+L145+M145</f>
        <v>36153.4</v>
      </c>
      <c r="K145" s="34">
        <f>4507.3+1309.2</f>
        <v>5816.5</v>
      </c>
      <c r="L145" s="34">
        <f>22006.3+6391.8</f>
        <v>28398.1</v>
      </c>
      <c r="M145" s="34">
        <v>1938.8</v>
      </c>
      <c r="N145" s="28">
        <f t="shared" ref="N145:N147" si="176">O145+P145+Q145</f>
        <v>94407.1</v>
      </c>
      <c r="O145" s="34">
        <v>11749.5</v>
      </c>
      <c r="P145" s="34">
        <v>78631.3</v>
      </c>
      <c r="Q145" s="34">
        <v>4026.3</v>
      </c>
      <c r="R145" s="28">
        <f t="shared" ref="R145:R147" si="177">S145+T145+U145</f>
        <v>97993.4</v>
      </c>
      <c r="S145" s="34">
        <v>12210</v>
      </c>
      <c r="T145" s="34">
        <v>81713.399999999994</v>
      </c>
      <c r="U145" s="34">
        <v>4070</v>
      </c>
      <c r="V145" s="75">
        <f t="shared" si="159"/>
        <v>0.379</v>
      </c>
      <c r="W145" s="2"/>
      <c r="X145" s="2"/>
    </row>
    <row r="146" spans="1:103" s="83" customFormat="1" ht="39" customHeight="1">
      <c r="A146" s="20" t="s">
        <v>106</v>
      </c>
      <c r="B146" s="72" t="s">
        <v>107</v>
      </c>
      <c r="C146" s="22" t="s">
        <v>12</v>
      </c>
      <c r="D146" s="22" t="s">
        <v>12</v>
      </c>
      <c r="E146" s="22" t="s">
        <v>12</v>
      </c>
      <c r="F146" s="53">
        <f t="shared" si="155"/>
        <v>4474473.7</v>
      </c>
      <c r="G146" s="53">
        <f>G147+G156+G150</f>
        <v>3498773.7</v>
      </c>
      <c r="H146" s="53">
        <f>H147+H156+H150</f>
        <v>680000</v>
      </c>
      <c r="I146" s="53">
        <f>I147+I156+I150</f>
        <v>295700</v>
      </c>
      <c r="J146" s="53">
        <f t="shared" si="175"/>
        <v>1522332.3</v>
      </c>
      <c r="K146" s="53">
        <f>K147+K156+K150</f>
        <v>1280734.1000000001</v>
      </c>
      <c r="L146" s="53">
        <f>L147+L156+L150</f>
        <v>104330.8</v>
      </c>
      <c r="M146" s="53">
        <f>M147+M156+M150</f>
        <v>137267.4</v>
      </c>
      <c r="N146" s="53">
        <f t="shared" si="176"/>
        <v>4737224.5</v>
      </c>
      <c r="O146" s="53">
        <f>O147+O156+O150</f>
        <v>4567224.5</v>
      </c>
      <c r="P146" s="53">
        <f>P147+P156+P150</f>
        <v>120000</v>
      </c>
      <c r="Q146" s="53">
        <f>Q147+Q156+Q150</f>
        <v>50000</v>
      </c>
      <c r="R146" s="53">
        <f t="shared" si="177"/>
        <v>5639093.2000000002</v>
      </c>
      <c r="S146" s="53">
        <f>S147+S156+S150</f>
        <v>5469093.2000000002</v>
      </c>
      <c r="T146" s="53">
        <f>T147+T156+T150</f>
        <v>120000</v>
      </c>
      <c r="U146" s="53">
        <f>U147+U156+U150</f>
        <v>50000</v>
      </c>
      <c r="V146" s="54">
        <f t="shared" si="159"/>
        <v>0.34</v>
      </c>
      <c r="W146" s="2"/>
      <c r="X146" s="2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</row>
    <row r="147" spans="1:103" ht="26.25" customHeight="1">
      <c r="A147" s="12" t="s">
        <v>108</v>
      </c>
      <c r="B147" s="26" t="s">
        <v>109</v>
      </c>
      <c r="C147" s="70" t="s">
        <v>12</v>
      </c>
      <c r="D147" s="70" t="s">
        <v>12</v>
      </c>
      <c r="E147" s="70" t="s">
        <v>12</v>
      </c>
      <c r="F147" s="28">
        <f t="shared" si="155"/>
        <v>4242547.8</v>
      </c>
      <c r="G147" s="29">
        <f>SUM(G149:G149)</f>
        <v>3266847.8</v>
      </c>
      <c r="H147" s="29">
        <f>SUM(H149:H149)</f>
        <v>680000</v>
      </c>
      <c r="I147" s="29">
        <f>SUM(I149:I149)</f>
        <v>295700</v>
      </c>
      <c r="J147" s="28">
        <f t="shared" si="175"/>
        <v>1404296.9</v>
      </c>
      <c r="K147" s="29">
        <f>SUM(K149:K149)</f>
        <v>1162698.7</v>
      </c>
      <c r="L147" s="29">
        <f>SUM(L149:L149)</f>
        <v>104330.8</v>
      </c>
      <c r="M147" s="29">
        <f>SUM(M149:M149)</f>
        <v>137267.4</v>
      </c>
      <c r="N147" s="28">
        <f t="shared" si="176"/>
        <v>4411196.0999999996</v>
      </c>
      <c r="O147" s="29">
        <f>SUM(O149:O149)</f>
        <v>4361196.0999999996</v>
      </c>
      <c r="P147" s="29">
        <f>SUM(P149:P149)</f>
        <v>0</v>
      </c>
      <c r="Q147" s="29">
        <f>SUM(Q149:Q149)</f>
        <v>50000</v>
      </c>
      <c r="R147" s="28">
        <f t="shared" si="177"/>
        <v>5321513.2</v>
      </c>
      <c r="S147" s="29">
        <f>SUM(S149:S149)</f>
        <v>5271513.2</v>
      </c>
      <c r="T147" s="29">
        <f>SUM(T149:T149)</f>
        <v>0</v>
      </c>
      <c r="U147" s="29">
        <f>SUM(U149:U149)</f>
        <v>50000</v>
      </c>
      <c r="V147" s="30">
        <f t="shared" si="159"/>
        <v>0.33100000000000002</v>
      </c>
      <c r="W147" s="76" t="s">
        <v>366</v>
      </c>
      <c r="X147" s="2"/>
    </row>
    <row r="148" spans="1:103" ht="18.75">
      <c r="A148" s="15"/>
      <c r="B148" s="32" t="s">
        <v>15</v>
      </c>
      <c r="C148" s="67"/>
      <c r="D148" s="67"/>
      <c r="E148" s="67"/>
      <c r="F148" s="29"/>
      <c r="G148" s="29"/>
      <c r="H148" s="29"/>
      <c r="I148" s="29"/>
      <c r="J148" s="29"/>
      <c r="K148" s="29"/>
      <c r="L148" s="29"/>
      <c r="M148" s="29"/>
      <c r="N148" s="28"/>
      <c r="O148" s="29"/>
      <c r="P148" s="29"/>
      <c r="Q148" s="29"/>
      <c r="R148" s="28"/>
      <c r="S148" s="29"/>
      <c r="T148" s="29"/>
      <c r="U148" s="29"/>
      <c r="V148" s="41"/>
      <c r="W148" s="2"/>
      <c r="X148" s="2"/>
    </row>
    <row r="149" spans="1:103" ht="66">
      <c r="A149" s="15"/>
      <c r="B149" s="36" t="s">
        <v>110</v>
      </c>
      <c r="C149" s="68">
        <v>822</v>
      </c>
      <c r="D149" s="69" t="s">
        <v>111</v>
      </c>
      <c r="E149" s="37" t="s">
        <v>199</v>
      </c>
      <c r="F149" s="28">
        <f t="shared" si="155"/>
        <v>4242547.8</v>
      </c>
      <c r="G149" s="34">
        <f>3422994.8-156147</f>
        <v>3266847.8</v>
      </c>
      <c r="H149" s="34">
        <f>340000+340000</f>
        <v>680000</v>
      </c>
      <c r="I149" s="34">
        <v>295700</v>
      </c>
      <c r="J149" s="29">
        <f t="shared" ref="J149:J150" si="178">K149+L149+M149</f>
        <v>1404296.9</v>
      </c>
      <c r="K149" s="34">
        <f>794340.9+368357.8</f>
        <v>1162698.7</v>
      </c>
      <c r="L149" s="34">
        <f>49792.8+54538</f>
        <v>104330.8</v>
      </c>
      <c r="M149" s="34">
        <v>137267.4</v>
      </c>
      <c r="N149" s="28">
        <f t="shared" ref="N149:N150" si="179">O149+P149+Q149</f>
        <v>4411196.0999999996</v>
      </c>
      <c r="O149" s="34">
        <v>4361196.0999999996</v>
      </c>
      <c r="P149" s="34"/>
      <c r="Q149" s="34">
        <v>50000</v>
      </c>
      <c r="R149" s="28">
        <f t="shared" ref="R149:R150" si="180">S149+T149+U149</f>
        <v>5321513.2</v>
      </c>
      <c r="S149" s="34">
        <v>5271513.2</v>
      </c>
      <c r="T149" s="34"/>
      <c r="U149" s="34">
        <v>50000</v>
      </c>
      <c r="V149" s="75">
        <f t="shared" si="159"/>
        <v>0.33100000000000002</v>
      </c>
      <c r="W149" s="2"/>
      <c r="X149" s="2"/>
    </row>
    <row r="150" spans="1:103" ht="36.75" customHeight="1">
      <c r="A150" s="12" t="s">
        <v>239</v>
      </c>
      <c r="B150" s="26" t="s">
        <v>250</v>
      </c>
      <c r="C150" s="40" t="s">
        <v>12</v>
      </c>
      <c r="D150" s="40" t="s">
        <v>12</v>
      </c>
      <c r="E150" s="40" t="s">
        <v>12</v>
      </c>
      <c r="F150" s="28">
        <f t="shared" si="155"/>
        <v>180127</v>
      </c>
      <c r="G150" s="29">
        <f>SUM(G152:G155)</f>
        <v>180127</v>
      </c>
      <c r="H150" s="29">
        <f>SUM(H152:H155)</f>
        <v>0</v>
      </c>
      <c r="I150" s="29">
        <f>SUM(I152:I155)</f>
        <v>0</v>
      </c>
      <c r="J150" s="28">
        <f t="shared" si="178"/>
        <v>99236.5</v>
      </c>
      <c r="K150" s="29">
        <f>SUM(K152:K155)</f>
        <v>99236.5</v>
      </c>
      <c r="L150" s="29">
        <f>SUM(L152:L155)</f>
        <v>0</v>
      </c>
      <c r="M150" s="29">
        <f>SUM(M152:M155)</f>
        <v>0</v>
      </c>
      <c r="N150" s="28">
        <f t="shared" si="179"/>
        <v>152278.39999999999</v>
      </c>
      <c r="O150" s="29">
        <f>SUM(O152:O155)</f>
        <v>152278.39999999999</v>
      </c>
      <c r="P150" s="29">
        <f>SUM(P152:P155)</f>
        <v>0</v>
      </c>
      <c r="Q150" s="29">
        <f>SUM(Q152:Q155)</f>
        <v>0</v>
      </c>
      <c r="R150" s="28">
        <f t="shared" si="180"/>
        <v>157580</v>
      </c>
      <c r="S150" s="29">
        <f>SUM(S152:S155)</f>
        <v>157580</v>
      </c>
      <c r="T150" s="29">
        <f>SUM(T152:T155)</f>
        <v>0</v>
      </c>
      <c r="U150" s="29">
        <f>SUM(U152:U155)</f>
        <v>0</v>
      </c>
      <c r="V150" s="30">
        <f t="shared" si="159"/>
        <v>0.55100000000000005</v>
      </c>
      <c r="W150" s="76" t="s">
        <v>367</v>
      </c>
      <c r="X150" s="2"/>
    </row>
    <row r="151" spans="1:103" ht="18.75">
      <c r="A151" s="15"/>
      <c r="B151" s="32" t="s">
        <v>15</v>
      </c>
      <c r="C151" s="67"/>
      <c r="D151" s="67"/>
      <c r="E151" s="67"/>
      <c r="F151" s="29"/>
      <c r="G151" s="34"/>
      <c r="H151" s="34"/>
      <c r="I151" s="34"/>
      <c r="J151" s="29"/>
      <c r="K151" s="34"/>
      <c r="L151" s="34"/>
      <c r="M151" s="34"/>
      <c r="N151" s="28"/>
      <c r="O151" s="34"/>
      <c r="P151" s="34"/>
      <c r="Q151" s="34"/>
      <c r="R151" s="28"/>
      <c r="S151" s="34"/>
      <c r="T151" s="34"/>
      <c r="U151" s="34"/>
      <c r="V151" s="75"/>
      <c r="W151" s="2"/>
      <c r="X151" s="2"/>
    </row>
    <row r="152" spans="1:103" ht="64.5" customHeight="1">
      <c r="A152" s="15"/>
      <c r="B152" s="36" t="s">
        <v>110</v>
      </c>
      <c r="C152" s="68">
        <v>811</v>
      </c>
      <c r="D152" s="69" t="s">
        <v>17</v>
      </c>
      <c r="E152" s="68" t="s">
        <v>238</v>
      </c>
      <c r="F152" s="29">
        <f t="shared" si="155"/>
        <v>367.5</v>
      </c>
      <c r="G152" s="34">
        <v>367.5</v>
      </c>
      <c r="H152" s="34"/>
      <c r="I152" s="34"/>
      <c r="J152" s="29">
        <f t="shared" ref="J152:J156" si="181">K152+L152+M152</f>
        <v>170</v>
      </c>
      <c r="K152" s="34">
        <f>100.8+69.2</f>
        <v>170</v>
      </c>
      <c r="L152" s="34"/>
      <c r="M152" s="34"/>
      <c r="N152" s="28">
        <f t="shared" ref="N152:N156" si="182">O152+P152+Q152</f>
        <v>367.5</v>
      </c>
      <c r="O152" s="34">
        <v>367.5</v>
      </c>
      <c r="P152" s="34"/>
      <c r="Q152" s="34"/>
      <c r="R152" s="28">
        <f t="shared" ref="R152:R156" si="183">S152+T152+U152</f>
        <v>367.5</v>
      </c>
      <c r="S152" s="34">
        <v>367.5</v>
      </c>
      <c r="T152" s="34"/>
      <c r="U152" s="34"/>
      <c r="V152" s="75">
        <f t="shared" si="159"/>
        <v>0.46300000000000002</v>
      </c>
      <c r="W152" s="2"/>
      <c r="X152" s="2"/>
    </row>
    <row r="153" spans="1:103" ht="64.5" customHeight="1">
      <c r="A153" s="15"/>
      <c r="B153" s="36" t="s">
        <v>110</v>
      </c>
      <c r="C153" s="68">
        <v>815</v>
      </c>
      <c r="D153" s="69" t="s">
        <v>50</v>
      </c>
      <c r="E153" s="68" t="s">
        <v>238</v>
      </c>
      <c r="F153" s="29">
        <f t="shared" si="155"/>
        <v>2931.5</v>
      </c>
      <c r="G153" s="34">
        <v>2931.5</v>
      </c>
      <c r="H153" s="34"/>
      <c r="I153" s="34"/>
      <c r="J153" s="29">
        <f t="shared" si="181"/>
        <v>407.9</v>
      </c>
      <c r="K153" s="34">
        <f>13.3+326+68.6</f>
        <v>407.9</v>
      </c>
      <c r="L153" s="34"/>
      <c r="M153" s="34"/>
      <c r="N153" s="28">
        <f t="shared" si="182"/>
        <v>2931.5</v>
      </c>
      <c r="O153" s="34">
        <v>2931.5</v>
      </c>
      <c r="P153" s="34"/>
      <c r="Q153" s="34"/>
      <c r="R153" s="28">
        <f t="shared" si="183"/>
        <v>2931.5</v>
      </c>
      <c r="S153" s="34">
        <v>2931.5</v>
      </c>
      <c r="T153" s="34"/>
      <c r="U153" s="34"/>
      <c r="V153" s="75">
        <f t="shared" si="159"/>
        <v>0.13900000000000001</v>
      </c>
      <c r="W153" s="2"/>
      <c r="X153" s="2"/>
    </row>
    <row r="154" spans="1:103" ht="64.5" customHeight="1">
      <c r="A154" s="15"/>
      <c r="B154" s="36" t="s">
        <v>110</v>
      </c>
      <c r="C154" s="68">
        <v>816</v>
      </c>
      <c r="D154" s="69" t="s">
        <v>53</v>
      </c>
      <c r="E154" s="68" t="s">
        <v>238</v>
      </c>
      <c r="F154" s="29">
        <f t="shared" si="155"/>
        <v>81</v>
      </c>
      <c r="G154" s="34">
        <v>81</v>
      </c>
      <c r="H154" s="34"/>
      <c r="I154" s="34"/>
      <c r="J154" s="29">
        <f t="shared" si="181"/>
        <v>71.900000000000006</v>
      </c>
      <c r="K154" s="34">
        <v>71.900000000000006</v>
      </c>
      <c r="L154" s="34"/>
      <c r="M154" s="34"/>
      <c r="N154" s="28">
        <f t="shared" si="182"/>
        <v>81</v>
      </c>
      <c r="O154" s="34">
        <v>81</v>
      </c>
      <c r="P154" s="34"/>
      <c r="Q154" s="34"/>
      <c r="R154" s="28">
        <f t="shared" si="183"/>
        <v>81</v>
      </c>
      <c r="S154" s="34">
        <v>81</v>
      </c>
      <c r="T154" s="34"/>
      <c r="U154" s="34"/>
      <c r="V154" s="75">
        <f t="shared" si="159"/>
        <v>0.88800000000000001</v>
      </c>
      <c r="W154" s="2"/>
      <c r="X154" s="2"/>
    </row>
    <row r="155" spans="1:103" ht="65.25" customHeight="1">
      <c r="A155" s="15"/>
      <c r="B155" s="36" t="s">
        <v>110</v>
      </c>
      <c r="C155" s="68">
        <v>822</v>
      </c>
      <c r="D155" s="69" t="s">
        <v>111</v>
      </c>
      <c r="E155" s="68" t="s">
        <v>238</v>
      </c>
      <c r="F155" s="29">
        <f t="shared" si="155"/>
        <v>176747</v>
      </c>
      <c r="G155" s="34">
        <v>176747</v>
      </c>
      <c r="H155" s="34"/>
      <c r="I155" s="34"/>
      <c r="J155" s="29">
        <f t="shared" si="181"/>
        <v>98586.7</v>
      </c>
      <c r="K155" s="34">
        <f>51229.4+47357.3</f>
        <v>98586.7</v>
      </c>
      <c r="L155" s="34"/>
      <c r="M155" s="34"/>
      <c r="N155" s="28">
        <f t="shared" si="182"/>
        <v>148898.4</v>
      </c>
      <c r="O155" s="34">
        <v>148898.4</v>
      </c>
      <c r="P155" s="34"/>
      <c r="Q155" s="34"/>
      <c r="R155" s="28">
        <f t="shared" si="183"/>
        <v>154200</v>
      </c>
      <c r="S155" s="34">
        <v>154200</v>
      </c>
      <c r="T155" s="34"/>
      <c r="U155" s="34"/>
      <c r="V155" s="75">
        <f t="shared" si="159"/>
        <v>0.55800000000000005</v>
      </c>
      <c r="W155" s="2"/>
      <c r="X155" s="2"/>
    </row>
    <row r="156" spans="1:103" s="9" customFormat="1" ht="38.25" customHeight="1">
      <c r="A156" s="25" t="s">
        <v>249</v>
      </c>
      <c r="B156" s="57" t="s">
        <v>235</v>
      </c>
      <c r="C156" s="27" t="s">
        <v>12</v>
      </c>
      <c r="D156" s="27" t="s">
        <v>12</v>
      </c>
      <c r="E156" s="27" t="s">
        <v>12</v>
      </c>
      <c r="F156" s="29">
        <f t="shared" si="155"/>
        <v>51798.9</v>
      </c>
      <c r="G156" s="29">
        <f>SUM(G158:G159)</f>
        <v>51798.9</v>
      </c>
      <c r="H156" s="29">
        <f>SUM(H158:H159)</f>
        <v>0</v>
      </c>
      <c r="I156" s="29">
        <f>SUM(I158:I159)</f>
        <v>0</v>
      </c>
      <c r="J156" s="29">
        <f t="shared" si="181"/>
        <v>18798.900000000001</v>
      </c>
      <c r="K156" s="29">
        <f>SUM(K158:K159)</f>
        <v>18798.900000000001</v>
      </c>
      <c r="L156" s="29">
        <f>SUM(L158:L159)</f>
        <v>0</v>
      </c>
      <c r="M156" s="29">
        <f>SUM(M158:M159)</f>
        <v>0</v>
      </c>
      <c r="N156" s="29">
        <f t="shared" si="182"/>
        <v>173750</v>
      </c>
      <c r="O156" s="29">
        <f>SUM(O158:O159)</f>
        <v>53750</v>
      </c>
      <c r="P156" s="29">
        <f>SUM(P158:P159)</f>
        <v>120000</v>
      </c>
      <c r="Q156" s="29">
        <f>SUM(Q158:Q159)</f>
        <v>0</v>
      </c>
      <c r="R156" s="29">
        <f t="shared" si="183"/>
        <v>160000</v>
      </c>
      <c r="S156" s="29">
        <f>SUM(S158:S159)</f>
        <v>40000</v>
      </c>
      <c r="T156" s="29">
        <f>SUM(T158:T159)</f>
        <v>120000</v>
      </c>
      <c r="U156" s="29">
        <f>SUM(U158:U159)</f>
        <v>0</v>
      </c>
      <c r="V156" s="41">
        <f t="shared" si="159"/>
        <v>0.36299999999999999</v>
      </c>
      <c r="W156" s="76" t="s">
        <v>366</v>
      </c>
      <c r="X156" s="2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</row>
    <row r="157" spans="1:103" ht="22.5" customHeight="1">
      <c r="A157" s="15"/>
      <c r="B157" s="32" t="s">
        <v>15</v>
      </c>
      <c r="C157" s="67"/>
      <c r="D157" s="67"/>
      <c r="E157" s="67"/>
      <c r="F157" s="29"/>
      <c r="G157" s="29"/>
      <c r="H157" s="29"/>
      <c r="I157" s="29"/>
      <c r="J157" s="29"/>
      <c r="K157" s="29"/>
      <c r="L157" s="29"/>
      <c r="M157" s="29"/>
      <c r="N157" s="28"/>
      <c r="O157" s="29"/>
      <c r="P157" s="29"/>
      <c r="Q157" s="29"/>
      <c r="R157" s="28"/>
      <c r="S157" s="29"/>
      <c r="T157" s="29"/>
      <c r="U157" s="29"/>
      <c r="V157" s="41"/>
      <c r="W157" s="2"/>
      <c r="X157" s="2"/>
    </row>
    <row r="158" spans="1:103" ht="86.25" customHeight="1">
      <c r="A158" s="15"/>
      <c r="B158" s="36" t="s">
        <v>243</v>
      </c>
      <c r="C158" s="68">
        <v>822</v>
      </c>
      <c r="D158" s="69" t="s">
        <v>111</v>
      </c>
      <c r="E158" s="68" t="s">
        <v>242</v>
      </c>
      <c r="F158" s="29">
        <f t="shared" si="155"/>
        <v>0</v>
      </c>
      <c r="G158" s="34"/>
      <c r="H158" s="34"/>
      <c r="I158" s="34"/>
      <c r="J158" s="29">
        <f t="shared" ref="J158:J161" si="184">K158+L158+M158</f>
        <v>0</v>
      </c>
      <c r="K158" s="34"/>
      <c r="L158" s="34"/>
      <c r="M158" s="34"/>
      <c r="N158" s="28">
        <f t="shared" ref="N158:N161" si="185">O158+P158+Q158</f>
        <v>120000</v>
      </c>
      <c r="O158" s="34"/>
      <c r="P158" s="34">
        <v>120000</v>
      </c>
      <c r="Q158" s="34"/>
      <c r="R158" s="28">
        <f t="shared" ref="R158:R161" si="186">S158+T158+U158</f>
        <v>120000</v>
      </c>
      <c r="S158" s="34"/>
      <c r="T158" s="34">
        <v>120000</v>
      </c>
      <c r="U158" s="34"/>
      <c r="V158" s="75"/>
      <c r="W158" s="2"/>
      <c r="X158" s="2"/>
    </row>
    <row r="159" spans="1:103" ht="65.25" customHeight="1">
      <c r="A159" s="15"/>
      <c r="B159" s="36" t="s">
        <v>110</v>
      </c>
      <c r="C159" s="68">
        <v>822</v>
      </c>
      <c r="D159" s="69" t="s">
        <v>111</v>
      </c>
      <c r="E159" s="68" t="s">
        <v>302</v>
      </c>
      <c r="F159" s="29">
        <f t="shared" si="155"/>
        <v>51798.9</v>
      </c>
      <c r="G159" s="34">
        <f>33000+18798.9</f>
        <v>51798.9</v>
      </c>
      <c r="H159" s="34"/>
      <c r="I159" s="34"/>
      <c r="J159" s="29">
        <f t="shared" si="184"/>
        <v>18798.900000000001</v>
      </c>
      <c r="K159" s="34">
        <v>18798.900000000001</v>
      </c>
      <c r="L159" s="34"/>
      <c r="M159" s="34"/>
      <c r="N159" s="28">
        <f t="shared" si="185"/>
        <v>53750</v>
      </c>
      <c r="O159" s="34">
        <v>53750</v>
      </c>
      <c r="P159" s="34"/>
      <c r="Q159" s="34"/>
      <c r="R159" s="28">
        <f t="shared" si="186"/>
        <v>40000</v>
      </c>
      <c r="S159" s="34">
        <v>40000</v>
      </c>
      <c r="T159" s="34"/>
      <c r="U159" s="34"/>
      <c r="V159" s="75">
        <f t="shared" si="159"/>
        <v>0.36299999999999999</v>
      </c>
      <c r="W159" s="2"/>
      <c r="X159" s="2"/>
    </row>
    <row r="160" spans="1:103" s="83" customFormat="1" ht="28.5" customHeight="1">
      <c r="A160" s="20" t="s">
        <v>112</v>
      </c>
      <c r="B160" s="21" t="s">
        <v>113</v>
      </c>
      <c r="C160" s="22" t="s">
        <v>12</v>
      </c>
      <c r="D160" s="22" t="s">
        <v>12</v>
      </c>
      <c r="E160" s="22" t="s">
        <v>12</v>
      </c>
      <c r="F160" s="53">
        <f t="shared" si="155"/>
        <v>83320.3</v>
      </c>
      <c r="G160" s="53">
        <f>G161+G170+G173</f>
        <v>24293.599999999999</v>
      </c>
      <c r="H160" s="53">
        <f>H161+H170+H173</f>
        <v>56845.2</v>
      </c>
      <c r="I160" s="53">
        <f>I161+I170+I173</f>
        <v>2181.5</v>
      </c>
      <c r="J160" s="53">
        <f t="shared" si="184"/>
        <v>45336.5</v>
      </c>
      <c r="K160" s="53">
        <f>K161+K170+K173</f>
        <v>13304.6</v>
      </c>
      <c r="L160" s="53">
        <f>L161+L170+L173</f>
        <v>31241.4</v>
      </c>
      <c r="M160" s="53">
        <f>M161+M170+M173</f>
        <v>790.5</v>
      </c>
      <c r="N160" s="53">
        <f t="shared" si="185"/>
        <v>142214.20000000001</v>
      </c>
      <c r="O160" s="53">
        <f>O161+O170+O173</f>
        <v>21994.799999999999</v>
      </c>
      <c r="P160" s="53">
        <f>P161+P170+P173</f>
        <v>120219.4</v>
      </c>
      <c r="Q160" s="53">
        <f>Q161+Q170+Q173</f>
        <v>0</v>
      </c>
      <c r="R160" s="53">
        <f t="shared" si="186"/>
        <v>239867.5</v>
      </c>
      <c r="S160" s="53">
        <f>S161+S170+S173</f>
        <v>28172.1</v>
      </c>
      <c r="T160" s="53">
        <f>T161+T170+T173</f>
        <v>211695.4</v>
      </c>
      <c r="U160" s="53">
        <f>U161+U170+U173</f>
        <v>0</v>
      </c>
      <c r="V160" s="54">
        <f t="shared" si="159"/>
        <v>0.54400000000000004</v>
      </c>
      <c r="W160" s="2"/>
      <c r="X160" s="2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</row>
    <row r="161" spans="1:24" ht="46.5" customHeight="1">
      <c r="A161" s="12" t="s">
        <v>114</v>
      </c>
      <c r="B161" s="26" t="s">
        <v>115</v>
      </c>
      <c r="C161" s="40" t="s">
        <v>12</v>
      </c>
      <c r="D161" s="40" t="s">
        <v>12</v>
      </c>
      <c r="E161" s="40" t="s">
        <v>12</v>
      </c>
      <c r="F161" s="29">
        <f t="shared" si="155"/>
        <v>66701.399999999994</v>
      </c>
      <c r="G161" s="29">
        <f>SUM(G163:G169)</f>
        <v>10027.299999999999</v>
      </c>
      <c r="H161" s="29">
        <f>SUM(H163:H169)</f>
        <v>54545.2</v>
      </c>
      <c r="I161" s="29">
        <f>SUM(I163:I169)</f>
        <v>2128.9</v>
      </c>
      <c r="J161" s="29">
        <f t="shared" si="184"/>
        <v>31546.7</v>
      </c>
      <c r="K161" s="29">
        <f>SUM(K163:K169)</f>
        <v>1537.4</v>
      </c>
      <c r="L161" s="29">
        <f>SUM(L163:L169)</f>
        <v>29218.799999999999</v>
      </c>
      <c r="M161" s="29">
        <f>SUM(M163:M169)</f>
        <v>790.5</v>
      </c>
      <c r="N161" s="28">
        <f t="shared" si="185"/>
        <v>121019.9</v>
      </c>
      <c r="O161" s="29">
        <f>SUM(O163:O169)</f>
        <v>7800.5</v>
      </c>
      <c r="P161" s="29">
        <f>SUM(P163:P169)</f>
        <v>113219.4</v>
      </c>
      <c r="Q161" s="29">
        <f>SUM(Q163:Q169)</f>
        <v>0</v>
      </c>
      <c r="R161" s="28">
        <f t="shared" si="186"/>
        <v>224373.2</v>
      </c>
      <c r="S161" s="29">
        <f>SUM(S163:S169)</f>
        <v>13977.8</v>
      </c>
      <c r="T161" s="29">
        <f>SUM(T163:T169)</f>
        <v>210395.4</v>
      </c>
      <c r="U161" s="29">
        <f>SUM(U163:U169)</f>
        <v>0</v>
      </c>
      <c r="V161" s="41">
        <f t="shared" si="159"/>
        <v>0.47299999999999998</v>
      </c>
      <c r="W161" s="46" t="s">
        <v>368</v>
      </c>
      <c r="X161" s="2"/>
    </row>
    <row r="162" spans="1:24" ht="18.75">
      <c r="A162" s="15"/>
      <c r="B162" s="32" t="s">
        <v>15</v>
      </c>
      <c r="C162" s="67"/>
      <c r="D162" s="67"/>
      <c r="E162" s="67"/>
      <c r="F162" s="29"/>
      <c r="G162" s="29"/>
      <c r="H162" s="29"/>
      <c r="I162" s="29"/>
      <c r="J162" s="29"/>
      <c r="K162" s="29"/>
      <c r="L162" s="29"/>
      <c r="M162" s="29"/>
      <c r="N162" s="28"/>
      <c r="O162" s="29"/>
      <c r="P162" s="29"/>
      <c r="Q162" s="29"/>
      <c r="R162" s="28"/>
      <c r="S162" s="29"/>
      <c r="T162" s="29"/>
      <c r="U162" s="29"/>
      <c r="V162" s="41"/>
      <c r="W162" s="2"/>
      <c r="X162" s="2"/>
    </row>
    <row r="163" spans="1:24" ht="36.75" customHeight="1">
      <c r="A163" s="42"/>
      <c r="B163" s="44" t="s">
        <v>187</v>
      </c>
      <c r="C163" s="37">
        <v>821</v>
      </c>
      <c r="D163" s="38" t="s">
        <v>19</v>
      </c>
      <c r="E163" s="37" t="s">
        <v>188</v>
      </c>
      <c r="F163" s="29">
        <f t="shared" si="155"/>
        <v>31701.4</v>
      </c>
      <c r="G163" s="34">
        <v>5027.3</v>
      </c>
      <c r="H163" s="34">
        <v>24545.200000000001</v>
      </c>
      <c r="I163" s="34">
        <v>2128.9</v>
      </c>
      <c r="J163" s="29">
        <f t="shared" ref="J163:J170" si="187">K163+L163+M163</f>
        <v>9833.9</v>
      </c>
      <c r="K163" s="34">
        <f>772.7+206+558.7</f>
        <v>1537.4</v>
      </c>
      <c r="L163" s="34">
        <f>3772.7+1005.5+2727.8</f>
        <v>7506</v>
      </c>
      <c r="M163" s="34">
        <v>790.5</v>
      </c>
      <c r="N163" s="29">
        <f t="shared" ref="N163:N170" si="188">O163+P163+Q163</f>
        <v>30224.2</v>
      </c>
      <c r="O163" s="34">
        <v>3929.1</v>
      </c>
      <c r="P163" s="34">
        <v>26295.1</v>
      </c>
      <c r="Q163" s="34"/>
      <c r="R163" s="29">
        <f t="shared" ref="R163:R170" si="189">S163+T163+U163</f>
        <v>72466.399999999994</v>
      </c>
      <c r="S163" s="34">
        <v>9420.6</v>
      </c>
      <c r="T163" s="34">
        <v>63045.8</v>
      </c>
      <c r="U163" s="34"/>
      <c r="V163" s="75">
        <f t="shared" si="159"/>
        <v>0.31</v>
      </c>
      <c r="W163" s="2"/>
      <c r="X163" s="2"/>
    </row>
    <row r="164" spans="1:24" ht="44.25" customHeight="1">
      <c r="A164" s="42"/>
      <c r="B164" s="44" t="s">
        <v>286</v>
      </c>
      <c r="C164" s="37">
        <v>821</v>
      </c>
      <c r="D164" s="38" t="s">
        <v>19</v>
      </c>
      <c r="E164" s="37" t="s">
        <v>287</v>
      </c>
      <c r="F164" s="29">
        <f t="shared" si="155"/>
        <v>0</v>
      </c>
      <c r="G164" s="34">
        <f>3512.3-3512.3</f>
        <v>0</v>
      </c>
      <c r="H164" s="34"/>
      <c r="I164" s="34"/>
      <c r="J164" s="29">
        <f t="shared" si="187"/>
        <v>0</v>
      </c>
      <c r="K164" s="34"/>
      <c r="L164" s="34"/>
      <c r="M164" s="34"/>
      <c r="N164" s="29">
        <f t="shared" si="188"/>
        <v>0</v>
      </c>
      <c r="O164" s="34"/>
      <c r="P164" s="34"/>
      <c r="Q164" s="34"/>
      <c r="R164" s="29">
        <f t="shared" si="189"/>
        <v>0</v>
      </c>
      <c r="S164" s="34"/>
      <c r="T164" s="34"/>
      <c r="U164" s="34"/>
      <c r="V164" s="75"/>
      <c r="W164" s="2"/>
      <c r="X164" s="2"/>
    </row>
    <row r="165" spans="1:24" ht="75.75" customHeight="1">
      <c r="A165" s="42"/>
      <c r="B165" s="44" t="s">
        <v>289</v>
      </c>
      <c r="C165" s="37">
        <v>814</v>
      </c>
      <c r="D165" s="38" t="s">
        <v>116</v>
      </c>
      <c r="E165" s="37" t="s">
        <v>288</v>
      </c>
      <c r="F165" s="29">
        <f t="shared" si="155"/>
        <v>0</v>
      </c>
      <c r="G165" s="34"/>
      <c r="H165" s="34"/>
      <c r="I165" s="34"/>
      <c r="J165" s="29">
        <f t="shared" si="187"/>
        <v>0</v>
      </c>
      <c r="K165" s="34"/>
      <c r="L165" s="34"/>
      <c r="M165" s="34"/>
      <c r="N165" s="29">
        <f t="shared" si="188"/>
        <v>22950.9</v>
      </c>
      <c r="O165" s="34">
        <v>1836.1</v>
      </c>
      <c r="P165" s="34">
        <v>21114.799999999999</v>
      </c>
      <c r="Q165" s="34"/>
      <c r="R165" s="29">
        <f t="shared" si="189"/>
        <v>0</v>
      </c>
      <c r="S165" s="34"/>
      <c r="T165" s="34"/>
      <c r="U165" s="34"/>
      <c r="V165" s="75"/>
      <c r="W165" s="2"/>
      <c r="X165" s="2"/>
    </row>
    <row r="166" spans="1:24" ht="60" customHeight="1">
      <c r="A166" s="42"/>
      <c r="B166" s="44" t="s">
        <v>291</v>
      </c>
      <c r="C166" s="37">
        <v>814</v>
      </c>
      <c r="D166" s="38" t="s">
        <v>116</v>
      </c>
      <c r="E166" s="37" t="s">
        <v>290</v>
      </c>
      <c r="F166" s="29">
        <f t="shared" si="155"/>
        <v>0</v>
      </c>
      <c r="G166" s="34"/>
      <c r="H166" s="34"/>
      <c r="I166" s="34"/>
      <c r="J166" s="29">
        <f t="shared" si="187"/>
        <v>0</v>
      </c>
      <c r="K166" s="34"/>
      <c r="L166" s="34"/>
      <c r="M166" s="34"/>
      <c r="N166" s="29">
        <f t="shared" si="188"/>
        <v>0</v>
      </c>
      <c r="O166" s="34"/>
      <c r="P166" s="34"/>
      <c r="Q166" s="34"/>
      <c r="R166" s="29">
        <f t="shared" si="189"/>
        <v>18871.900000000001</v>
      </c>
      <c r="S166" s="34">
        <v>566.20000000000005</v>
      </c>
      <c r="T166" s="34">
        <v>18305.7</v>
      </c>
      <c r="U166" s="34"/>
      <c r="V166" s="75"/>
      <c r="W166" s="2"/>
      <c r="X166" s="2"/>
    </row>
    <row r="167" spans="1:24" ht="33.75" customHeight="1">
      <c r="A167" s="42"/>
      <c r="B167" s="44" t="s">
        <v>343</v>
      </c>
      <c r="C167" s="37">
        <v>814</v>
      </c>
      <c r="D167" s="38" t="s">
        <v>116</v>
      </c>
      <c r="E167" s="37" t="s">
        <v>342</v>
      </c>
      <c r="F167" s="29">
        <f t="shared" ref="F167" si="190">G167+H167+I167</f>
        <v>5000</v>
      </c>
      <c r="G167" s="34">
        <v>5000</v>
      </c>
      <c r="H167" s="34"/>
      <c r="I167" s="34"/>
      <c r="J167" s="29">
        <f t="shared" ref="J167" si="191">K167+L167+M167</f>
        <v>0</v>
      </c>
      <c r="K167" s="34"/>
      <c r="L167" s="34"/>
      <c r="M167" s="34"/>
      <c r="N167" s="29">
        <f t="shared" ref="N167" si="192">O167+P167+Q167</f>
        <v>0</v>
      </c>
      <c r="O167" s="34"/>
      <c r="P167" s="34"/>
      <c r="Q167" s="34"/>
      <c r="R167" s="29">
        <f t="shared" ref="R167" si="193">S167+T167+U167</f>
        <v>0</v>
      </c>
      <c r="S167" s="34"/>
      <c r="T167" s="34"/>
      <c r="U167" s="34"/>
      <c r="V167" s="75">
        <f t="shared" si="159"/>
        <v>0</v>
      </c>
      <c r="W167" s="2"/>
      <c r="X167" s="2"/>
    </row>
    <row r="168" spans="1:24" ht="52.5" customHeight="1">
      <c r="A168" s="42"/>
      <c r="B168" s="44" t="s">
        <v>185</v>
      </c>
      <c r="C168" s="37">
        <v>844</v>
      </c>
      <c r="D168" s="38" t="s">
        <v>184</v>
      </c>
      <c r="E168" s="37" t="s">
        <v>186</v>
      </c>
      <c r="F168" s="29">
        <f t="shared" si="155"/>
        <v>0</v>
      </c>
      <c r="G168" s="34"/>
      <c r="H168" s="34"/>
      <c r="I168" s="34"/>
      <c r="J168" s="29">
        <f t="shared" si="187"/>
        <v>0</v>
      </c>
      <c r="K168" s="34"/>
      <c r="L168" s="34"/>
      <c r="M168" s="34"/>
      <c r="N168" s="29">
        <f t="shared" si="188"/>
        <v>67844.800000000003</v>
      </c>
      <c r="O168" s="34">
        <v>2035.3</v>
      </c>
      <c r="P168" s="34">
        <v>65809.5</v>
      </c>
      <c r="Q168" s="34"/>
      <c r="R168" s="29">
        <f t="shared" si="189"/>
        <v>133034.9</v>
      </c>
      <c r="S168" s="34">
        <v>3991</v>
      </c>
      <c r="T168" s="34">
        <v>129043.9</v>
      </c>
      <c r="U168" s="34"/>
      <c r="V168" s="75"/>
      <c r="W168" s="2"/>
      <c r="X168" s="2"/>
    </row>
    <row r="169" spans="1:24" ht="61.5" customHeight="1">
      <c r="A169" s="42"/>
      <c r="B169" s="44" t="s">
        <v>313</v>
      </c>
      <c r="C169" s="37">
        <v>814</v>
      </c>
      <c r="D169" s="38" t="s">
        <v>116</v>
      </c>
      <c r="E169" s="37" t="s">
        <v>183</v>
      </c>
      <c r="F169" s="29">
        <f t="shared" si="155"/>
        <v>30000</v>
      </c>
      <c r="G169" s="34"/>
      <c r="H169" s="34">
        <v>30000</v>
      </c>
      <c r="I169" s="34"/>
      <c r="J169" s="29">
        <f t="shared" si="187"/>
        <v>21712.799999999999</v>
      </c>
      <c r="K169" s="34"/>
      <c r="L169" s="34">
        <f>6703.1+5509.7+9500</f>
        <v>21712.799999999999</v>
      </c>
      <c r="M169" s="34"/>
      <c r="N169" s="29">
        <f t="shared" si="188"/>
        <v>0</v>
      </c>
      <c r="O169" s="34"/>
      <c r="P169" s="34"/>
      <c r="Q169" s="34"/>
      <c r="R169" s="29">
        <f t="shared" si="189"/>
        <v>0</v>
      </c>
      <c r="S169" s="34"/>
      <c r="T169" s="34"/>
      <c r="U169" s="34"/>
      <c r="V169" s="75">
        <f t="shared" si="159"/>
        <v>0.72399999999999998</v>
      </c>
      <c r="W169" s="2"/>
      <c r="X169" s="2"/>
    </row>
    <row r="170" spans="1:24" ht="26.25" customHeight="1">
      <c r="A170" s="25" t="s">
        <v>117</v>
      </c>
      <c r="B170" s="57" t="s">
        <v>118</v>
      </c>
      <c r="C170" s="74" t="s">
        <v>12</v>
      </c>
      <c r="D170" s="74" t="s">
        <v>12</v>
      </c>
      <c r="E170" s="74" t="s">
        <v>12</v>
      </c>
      <c r="F170" s="29">
        <f t="shared" si="155"/>
        <v>1000</v>
      </c>
      <c r="G170" s="29">
        <f t="shared" ref="G170:H170" si="194">SUM(G172)</f>
        <v>0</v>
      </c>
      <c r="H170" s="29">
        <f t="shared" si="194"/>
        <v>1000</v>
      </c>
      <c r="I170" s="29">
        <f t="shared" ref="I170" si="195">SUM(I172)</f>
        <v>0</v>
      </c>
      <c r="J170" s="29">
        <f t="shared" si="187"/>
        <v>1000</v>
      </c>
      <c r="K170" s="29">
        <f t="shared" ref="K170:M170" si="196">SUM(K172)</f>
        <v>0</v>
      </c>
      <c r="L170" s="29">
        <f t="shared" si="196"/>
        <v>1000</v>
      </c>
      <c r="M170" s="29">
        <f t="shared" si="196"/>
        <v>0</v>
      </c>
      <c r="N170" s="29">
        <f t="shared" si="188"/>
        <v>5700</v>
      </c>
      <c r="O170" s="29">
        <f t="shared" ref="O170:T170" si="197">SUM(O172)</f>
        <v>0</v>
      </c>
      <c r="P170" s="29">
        <f t="shared" si="197"/>
        <v>5700</v>
      </c>
      <c r="Q170" s="29">
        <f t="shared" si="197"/>
        <v>0</v>
      </c>
      <c r="R170" s="29">
        <f t="shared" si="189"/>
        <v>0</v>
      </c>
      <c r="S170" s="29">
        <f t="shared" si="197"/>
        <v>0</v>
      </c>
      <c r="T170" s="29">
        <f t="shared" si="197"/>
        <v>0</v>
      </c>
      <c r="U170" s="29">
        <f t="shared" ref="U170" si="198">SUM(U172)</f>
        <v>0</v>
      </c>
      <c r="V170" s="41">
        <f t="shared" si="159"/>
        <v>1</v>
      </c>
      <c r="W170" s="76" t="s">
        <v>369</v>
      </c>
      <c r="X170" s="2"/>
    </row>
    <row r="171" spans="1:24" ht="18.75">
      <c r="A171" s="42"/>
      <c r="B171" s="73" t="s">
        <v>15</v>
      </c>
      <c r="C171" s="33"/>
      <c r="D171" s="45"/>
      <c r="E171" s="33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41"/>
      <c r="W171" s="2"/>
      <c r="X171" s="2"/>
    </row>
    <row r="172" spans="1:24" ht="61.5" customHeight="1">
      <c r="A172" s="42"/>
      <c r="B172" s="44" t="s">
        <v>372</v>
      </c>
      <c r="C172" s="37">
        <v>814</v>
      </c>
      <c r="D172" s="38" t="s">
        <v>116</v>
      </c>
      <c r="E172" s="37" t="s">
        <v>189</v>
      </c>
      <c r="F172" s="29">
        <f t="shared" si="155"/>
        <v>1000</v>
      </c>
      <c r="G172" s="34"/>
      <c r="H172" s="34">
        <v>1000</v>
      </c>
      <c r="I172" s="34"/>
      <c r="J172" s="29">
        <f t="shared" ref="J172:J173" si="199">K172+L172+M172</f>
        <v>1000</v>
      </c>
      <c r="K172" s="34"/>
      <c r="L172" s="34">
        <v>1000</v>
      </c>
      <c r="M172" s="34"/>
      <c r="N172" s="29">
        <f t="shared" ref="N172:N173" si="200">O172+P172+Q172</f>
        <v>5700</v>
      </c>
      <c r="O172" s="34"/>
      <c r="P172" s="34">
        <v>5700</v>
      </c>
      <c r="Q172" s="34"/>
      <c r="R172" s="29">
        <f t="shared" ref="R172:R173" si="201">S172+T172+U172</f>
        <v>0</v>
      </c>
      <c r="S172" s="34"/>
      <c r="T172" s="34"/>
      <c r="U172" s="34"/>
      <c r="V172" s="75">
        <f t="shared" si="159"/>
        <v>1</v>
      </c>
      <c r="W172" s="2"/>
      <c r="X172" s="2"/>
    </row>
    <row r="173" spans="1:24" ht="18.75">
      <c r="A173" s="25" t="s">
        <v>260</v>
      </c>
      <c r="B173" s="57" t="s">
        <v>119</v>
      </c>
      <c r="C173" s="74" t="s">
        <v>12</v>
      </c>
      <c r="D173" s="74" t="s">
        <v>12</v>
      </c>
      <c r="E173" s="74" t="s">
        <v>12</v>
      </c>
      <c r="F173" s="29">
        <f t="shared" si="155"/>
        <v>15618.9</v>
      </c>
      <c r="G173" s="29">
        <f>SUM(G175:G177)</f>
        <v>14266.3</v>
      </c>
      <c r="H173" s="29">
        <f>SUM(H175:H177)</f>
        <v>1300</v>
      </c>
      <c r="I173" s="29">
        <f>SUM(I175:I177)</f>
        <v>52.6</v>
      </c>
      <c r="J173" s="29">
        <f t="shared" si="199"/>
        <v>12789.8</v>
      </c>
      <c r="K173" s="29">
        <f>SUM(K175:K177)</f>
        <v>11767.2</v>
      </c>
      <c r="L173" s="29">
        <f>SUM(L175:L177)</f>
        <v>1022.6</v>
      </c>
      <c r="M173" s="29">
        <f>SUM(M175:M177)</f>
        <v>0</v>
      </c>
      <c r="N173" s="29">
        <f t="shared" si="200"/>
        <v>15494.3</v>
      </c>
      <c r="O173" s="29">
        <f>SUM(O175:O177)</f>
        <v>14194.3</v>
      </c>
      <c r="P173" s="29">
        <f>SUM(P175:P177)</f>
        <v>1300</v>
      </c>
      <c r="Q173" s="29">
        <f>SUM(Q175:Q177)</f>
        <v>0</v>
      </c>
      <c r="R173" s="29">
        <f t="shared" si="201"/>
        <v>15494.3</v>
      </c>
      <c r="S173" s="29">
        <f>SUM(S175:S177)</f>
        <v>14194.3</v>
      </c>
      <c r="T173" s="29">
        <f>SUM(T175:T177)</f>
        <v>1300</v>
      </c>
      <c r="U173" s="29">
        <f>SUM(U175:U177)</f>
        <v>0</v>
      </c>
      <c r="V173" s="41">
        <f t="shared" si="159"/>
        <v>0.81899999999999995</v>
      </c>
      <c r="W173" s="76" t="s">
        <v>369</v>
      </c>
      <c r="X173" s="2"/>
    </row>
    <row r="174" spans="1:24" ht="18.75">
      <c r="A174" s="42"/>
      <c r="B174" s="73" t="s">
        <v>15</v>
      </c>
      <c r="C174" s="33"/>
      <c r="D174" s="45"/>
      <c r="E174" s="33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41"/>
      <c r="W174" s="2"/>
      <c r="X174" s="2"/>
    </row>
    <row r="175" spans="1:24" ht="33">
      <c r="A175" s="42"/>
      <c r="B175" s="44" t="s">
        <v>120</v>
      </c>
      <c r="C175" s="37">
        <v>814</v>
      </c>
      <c r="D175" s="38" t="s">
        <v>116</v>
      </c>
      <c r="E175" s="37" t="s">
        <v>218</v>
      </c>
      <c r="F175" s="29">
        <f t="shared" si="155"/>
        <v>13000</v>
      </c>
      <c r="G175" s="34">
        <v>13000</v>
      </c>
      <c r="H175" s="34"/>
      <c r="I175" s="34"/>
      <c r="J175" s="29">
        <f t="shared" ref="J175:J179" si="202">K175+L175+M175</f>
        <v>11557.7</v>
      </c>
      <c r="K175" s="34">
        <v>11557.7</v>
      </c>
      <c r="L175" s="34"/>
      <c r="M175" s="34"/>
      <c r="N175" s="29">
        <f t="shared" ref="N175:N179" si="203">O175+P175+Q175</f>
        <v>13000</v>
      </c>
      <c r="O175" s="34">
        <v>13000</v>
      </c>
      <c r="P175" s="34"/>
      <c r="Q175" s="34"/>
      <c r="R175" s="29">
        <f t="shared" ref="R175:R179" si="204">S175+T175+U175</f>
        <v>13000</v>
      </c>
      <c r="S175" s="34">
        <v>13000</v>
      </c>
      <c r="T175" s="34"/>
      <c r="U175" s="34"/>
      <c r="V175" s="75">
        <f t="shared" si="159"/>
        <v>0.88900000000000001</v>
      </c>
      <c r="W175" s="2"/>
      <c r="X175" s="2"/>
    </row>
    <row r="176" spans="1:24" ht="55.5" customHeight="1">
      <c r="A176" s="42"/>
      <c r="B176" s="44" t="s">
        <v>293</v>
      </c>
      <c r="C176" s="37">
        <v>814</v>
      </c>
      <c r="D176" s="38" t="s">
        <v>116</v>
      </c>
      <c r="E176" s="37" t="s">
        <v>292</v>
      </c>
      <c r="F176" s="29">
        <f t="shared" si="155"/>
        <v>1566.3</v>
      </c>
      <c r="G176" s="34">
        <v>266.3</v>
      </c>
      <c r="H176" s="34">
        <v>1300</v>
      </c>
      <c r="I176" s="34"/>
      <c r="J176" s="29">
        <f t="shared" si="202"/>
        <v>1232.0999999999999</v>
      </c>
      <c r="K176" s="34">
        <f>41+64.2+104.3</f>
        <v>209.5</v>
      </c>
      <c r="L176" s="34">
        <f>200+313.2+509.4</f>
        <v>1022.6</v>
      </c>
      <c r="M176" s="34"/>
      <c r="N176" s="29">
        <f t="shared" si="203"/>
        <v>1494.3</v>
      </c>
      <c r="O176" s="34">
        <v>194.3</v>
      </c>
      <c r="P176" s="34">
        <v>1300</v>
      </c>
      <c r="Q176" s="34"/>
      <c r="R176" s="29">
        <f t="shared" si="204"/>
        <v>1494.3</v>
      </c>
      <c r="S176" s="34">
        <v>194.3</v>
      </c>
      <c r="T176" s="34">
        <v>1300</v>
      </c>
      <c r="U176" s="34"/>
      <c r="V176" s="75">
        <f t="shared" si="159"/>
        <v>0.78700000000000003</v>
      </c>
      <c r="W176" s="2"/>
      <c r="X176" s="2"/>
    </row>
    <row r="177" spans="1:103" ht="77.25" customHeight="1">
      <c r="A177" s="42"/>
      <c r="B177" s="44" t="s">
        <v>220</v>
      </c>
      <c r="C177" s="37">
        <v>814</v>
      </c>
      <c r="D177" s="38" t="s">
        <v>116</v>
      </c>
      <c r="E177" s="37" t="s">
        <v>219</v>
      </c>
      <c r="F177" s="29">
        <f t="shared" si="155"/>
        <v>1052.5999999999999</v>
      </c>
      <c r="G177" s="34">
        <v>1000</v>
      </c>
      <c r="H177" s="34"/>
      <c r="I177" s="34">
        <v>52.6</v>
      </c>
      <c r="J177" s="29">
        <f t="shared" si="202"/>
        <v>0</v>
      </c>
      <c r="K177" s="34"/>
      <c r="L177" s="34"/>
      <c r="M177" s="34">
        <v>0</v>
      </c>
      <c r="N177" s="29">
        <f t="shared" si="203"/>
        <v>1000</v>
      </c>
      <c r="O177" s="34">
        <v>1000</v>
      </c>
      <c r="P177" s="34"/>
      <c r="Q177" s="34"/>
      <c r="R177" s="29">
        <f t="shared" si="204"/>
        <v>1000</v>
      </c>
      <c r="S177" s="34">
        <v>1000</v>
      </c>
      <c r="T177" s="34"/>
      <c r="U177" s="34"/>
      <c r="V177" s="75">
        <f t="shared" si="159"/>
        <v>0</v>
      </c>
      <c r="W177" s="2"/>
      <c r="X177" s="2"/>
    </row>
    <row r="178" spans="1:103" s="83" customFormat="1" ht="78.75" customHeight="1">
      <c r="A178" s="20" t="s">
        <v>121</v>
      </c>
      <c r="B178" s="72" t="s">
        <v>122</v>
      </c>
      <c r="C178" s="22" t="s">
        <v>12</v>
      </c>
      <c r="D178" s="22" t="s">
        <v>12</v>
      </c>
      <c r="E178" s="22" t="s">
        <v>12</v>
      </c>
      <c r="F178" s="53">
        <f>F179+F183+F196</f>
        <v>198909</v>
      </c>
      <c r="G178" s="53">
        <f>G179+G183+G196</f>
        <v>6957.1</v>
      </c>
      <c r="H178" s="53">
        <f>H179+H183+H196</f>
        <v>191951.9</v>
      </c>
      <c r="I178" s="53">
        <f>I179+I183+I196</f>
        <v>0</v>
      </c>
      <c r="J178" s="53">
        <f t="shared" si="202"/>
        <v>144395.1</v>
      </c>
      <c r="K178" s="53">
        <f>K179+K183+K196</f>
        <v>4496.8</v>
      </c>
      <c r="L178" s="53">
        <f>L179+L183+L196</f>
        <v>139898.29999999999</v>
      </c>
      <c r="M178" s="53">
        <f>M179+M183+M196</f>
        <v>0</v>
      </c>
      <c r="N178" s="53">
        <f t="shared" si="203"/>
        <v>188719.5</v>
      </c>
      <c r="O178" s="53">
        <f>O179+O183+O196</f>
        <v>6651.5</v>
      </c>
      <c r="P178" s="53">
        <f>P179+P183+P196</f>
        <v>182068</v>
      </c>
      <c r="Q178" s="53">
        <f>Q179+Q183+Q196</f>
        <v>0</v>
      </c>
      <c r="R178" s="53">
        <f t="shared" si="204"/>
        <v>456375.6</v>
      </c>
      <c r="S178" s="53">
        <f>S179+S183+S196</f>
        <v>14681.2</v>
      </c>
      <c r="T178" s="53">
        <f>T179+T183+T196</f>
        <v>441694.4</v>
      </c>
      <c r="U178" s="53">
        <f>U179+U183+U196</f>
        <v>0</v>
      </c>
      <c r="V178" s="54">
        <f t="shared" ref="V178:V208" si="205">J178/F178</f>
        <v>0.72599999999999998</v>
      </c>
      <c r="W178" s="2"/>
      <c r="X178" s="2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</row>
    <row r="179" spans="1:103" ht="75" customHeight="1">
      <c r="A179" s="12" t="s">
        <v>123</v>
      </c>
      <c r="B179" s="26" t="s">
        <v>345</v>
      </c>
      <c r="C179" s="40" t="s">
        <v>12</v>
      </c>
      <c r="D179" s="40" t="s">
        <v>12</v>
      </c>
      <c r="E179" s="40" t="s">
        <v>12</v>
      </c>
      <c r="F179" s="28">
        <f t="shared" ref="F179:F208" si="206">G179+H179+I179</f>
        <v>51838.6</v>
      </c>
      <c r="G179" s="29">
        <f>SUM(G181:G182)</f>
        <v>1555.1</v>
      </c>
      <c r="H179" s="29">
        <f>SUM(H181:H182)</f>
        <v>50283.5</v>
      </c>
      <c r="I179" s="29">
        <f>SUM(I181:I182)</f>
        <v>0</v>
      </c>
      <c r="J179" s="28">
        <f t="shared" si="202"/>
        <v>19785.400000000001</v>
      </c>
      <c r="K179" s="29">
        <f>SUM(K181:K182)</f>
        <v>593.6</v>
      </c>
      <c r="L179" s="29">
        <f>SUM(L181:L182)</f>
        <v>19191.8</v>
      </c>
      <c r="M179" s="29">
        <f>SUM(M181:M182)</f>
        <v>0</v>
      </c>
      <c r="N179" s="28">
        <f t="shared" si="203"/>
        <v>68390.7</v>
      </c>
      <c r="O179" s="29">
        <f>SUM(O181:O182)</f>
        <v>2051.6999999999998</v>
      </c>
      <c r="P179" s="29">
        <f>SUM(P181:P182)</f>
        <v>66339</v>
      </c>
      <c r="Q179" s="29">
        <f>SUM(Q181:Q182)</f>
        <v>0</v>
      </c>
      <c r="R179" s="28">
        <f t="shared" si="204"/>
        <v>85523.4</v>
      </c>
      <c r="S179" s="29">
        <f>SUM(S181:S182)</f>
        <v>2565.6</v>
      </c>
      <c r="T179" s="29">
        <f>SUM(T181:T182)</f>
        <v>82957.8</v>
      </c>
      <c r="U179" s="29">
        <f>SUM(U181:U182)</f>
        <v>0</v>
      </c>
      <c r="V179" s="30">
        <f t="shared" si="205"/>
        <v>0.38200000000000001</v>
      </c>
      <c r="W179" s="76" t="s">
        <v>360</v>
      </c>
      <c r="X179" s="2"/>
    </row>
    <row r="180" spans="1:103" ht="18.75">
      <c r="A180" s="15"/>
      <c r="B180" s="78" t="s">
        <v>15</v>
      </c>
      <c r="C180" s="67"/>
      <c r="D180" s="67"/>
      <c r="E180" s="67"/>
      <c r="F180" s="29"/>
      <c r="G180" s="29"/>
      <c r="H180" s="29"/>
      <c r="I180" s="29"/>
      <c r="J180" s="29"/>
      <c r="K180" s="29"/>
      <c r="L180" s="29"/>
      <c r="M180" s="29"/>
      <c r="N180" s="28"/>
      <c r="O180" s="29"/>
      <c r="P180" s="29"/>
      <c r="Q180" s="29"/>
      <c r="R180" s="28"/>
      <c r="S180" s="29"/>
      <c r="T180" s="29"/>
      <c r="U180" s="29"/>
      <c r="V180" s="41"/>
      <c r="W180" s="2"/>
      <c r="X180" s="2"/>
    </row>
    <row r="181" spans="1:103" ht="66.75" customHeight="1">
      <c r="A181" s="58"/>
      <c r="B181" s="59" t="s">
        <v>344</v>
      </c>
      <c r="C181" s="60">
        <v>840</v>
      </c>
      <c r="D181" s="61" t="s">
        <v>74</v>
      </c>
      <c r="E181" s="60" t="s">
        <v>138</v>
      </c>
      <c r="F181" s="85">
        <f t="shared" si="206"/>
        <v>30927.8</v>
      </c>
      <c r="G181" s="63">
        <f>1321.7+0.03-393.9</f>
        <v>927.8</v>
      </c>
      <c r="H181" s="63">
        <f>42736-12736</f>
        <v>30000</v>
      </c>
      <c r="I181" s="63"/>
      <c r="J181" s="85">
        <f t="shared" ref="J181:J183" si="207">K181+L181+M181</f>
        <v>0</v>
      </c>
      <c r="K181" s="63"/>
      <c r="L181" s="63"/>
      <c r="M181" s="63"/>
      <c r="N181" s="85">
        <f t="shared" ref="N181:N183" si="208">O181+P181+Q181</f>
        <v>59252.5</v>
      </c>
      <c r="O181" s="63">
        <v>1777.6</v>
      </c>
      <c r="P181" s="63">
        <v>57474.9</v>
      </c>
      <c r="Q181" s="63"/>
      <c r="R181" s="85">
        <f t="shared" ref="R181:R183" si="209">S181+T181+U181</f>
        <v>71408.2</v>
      </c>
      <c r="S181" s="63">
        <v>2142.1999999999998</v>
      </c>
      <c r="T181" s="63">
        <v>69266</v>
      </c>
      <c r="U181" s="63"/>
      <c r="V181" s="86">
        <f t="shared" si="205"/>
        <v>0</v>
      </c>
      <c r="W181" s="2"/>
      <c r="X181" s="2"/>
    </row>
    <row r="182" spans="1:103" ht="104.25" customHeight="1">
      <c r="A182" s="58"/>
      <c r="B182" s="59" t="s">
        <v>268</v>
      </c>
      <c r="C182" s="60">
        <v>840</v>
      </c>
      <c r="D182" s="61" t="s">
        <v>74</v>
      </c>
      <c r="E182" s="60" t="s">
        <v>269</v>
      </c>
      <c r="F182" s="85">
        <f t="shared" si="206"/>
        <v>20910.8</v>
      </c>
      <c r="G182" s="63">
        <f>233.4+0.03+393.9</f>
        <v>627.29999999999995</v>
      </c>
      <c r="H182" s="63">
        <f>7547.5+12736</f>
        <v>20283.5</v>
      </c>
      <c r="I182" s="63"/>
      <c r="J182" s="85">
        <f t="shared" si="207"/>
        <v>19785.400000000001</v>
      </c>
      <c r="K182" s="63">
        <v>593.6</v>
      </c>
      <c r="L182" s="63">
        <v>19191.8</v>
      </c>
      <c r="M182" s="63"/>
      <c r="N182" s="85">
        <f t="shared" si="208"/>
        <v>9138.2000000000007</v>
      </c>
      <c r="O182" s="63">
        <v>274.10000000000002</v>
      </c>
      <c r="P182" s="63">
        <v>8864.1</v>
      </c>
      <c r="Q182" s="63"/>
      <c r="R182" s="85">
        <f t="shared" si="209"/>
        <v>14115.2</v>
      </c>
      <c r="S182" s="63">
        <v>423.4</v>
      </c>
      <c r="T182" s="63">
        <v>13691.8</v>
      </c>
      <c r="U182" s="63"/>
      <c r="V182" s="86">
        <f t="shared" si="205"/>
        <v>0.94599999999999995</v>
      </c>
      <c r="W182" s="2"/>
      <c r="X182" s="2"/>
    </row>
    <row r="183" spans="1:103" ht="42" customHeight="1">
      <c r="A183" s="12" t="s">
        <v>124</v>
      </c>
      <c r="B183" s="26" t="s">
        <v>125</v>
      </c>
      <c r="C183" s="40" t="s">
        <v>12</v>
      </c>
      <c r="D183" s="40" t="s">
        <v>12</v>
      </c>
      <c r="E183" s="40" t="s">
        <v>12</v>
      </c>
      <c r="F183" s="28">
        <f>G183+H183+I183</f>
        <v>143805.1</v>
      </c>
      <c r="G183" s="29">
        <f>SUM(G185:G195)</f>
        <v>5304</v>
      </c>
      <c r="H183" s="29">
        <f>SUM(H185:H195)</f>
        <v>138501.1</v>
      </c>
      <c r="I183" s="29">
        <f>SUM(I185:I195)</f>
        <v>0</v>
      </c>
      <c r="J183" s="28">
        <f t="shared" si="207"/>
        <v>121344.4</v>
      </c>
      <c r="K183" s="29">
        <f>SUM(K185:K195)</f>
        <v>3805.2</v>
      </c>
      <c r="L183" s="29">
        <f t="shared" ref="L183:M183" si="210">SUM(L185:L195)</f>
        <v>117539.2</v>
      </c>
      <c r="M183" s="29">
        <f t="shared" si="210"/>
        <v>0</v>
      </c>
      <c r="N183" s="28">
        <f t="shared" si="208"/>
        <v>115245.3</v>
      </c>
      <c r="O183" s="29">
        <f>SUM(O185:O195)</f>
        <v>4447.3</v>
      </c>
      <c r="P183" s="29">
        <f>SUM(P185:P195)</f>
        <v>110798</v>
      </c>
      <c r="Q183" s="29">
        <f>SUM(Q185:Q195)</f>
        <v>0</v>
      </c>
      <c r="R183" s="28">
        <f t="shared" si="209"/>
        <v>364678.9</v>
      </c>
      <c r="S183" s="29">
        <f>SUM(S185:S195)</f>
        <v>11930.4</v>
      </c>
      <c r="T183" s="29">
        <f>SUM(T185:T195)</f>
        <v>352748.5</v>
      </c>
      <c r="U183" s="29">
        <f>SUM(U185:U195)</f>
        <v>0</v>
      </c>
      <c r="V183" s="30">
        <f t="shared" si="205"/>
        <v>0.84399999999999997</v>
      </c>
      <c r="W183" s="76" t="s">
        <v>360</v>
      </c>
      <c r="X183" s="2"/>
    </row>
    <row r="184" spans="1:103" ht="18.75">
      <c r="A184" s="15"/>
      <c r="B184" s="78" t="s">
        <v>15</v>
      </c>
      <c r="C184" s="67"/>
      <c r="D184" s="67"/>
      <c r="E184" s="67"/>
      <c r="F184" s="29"/>
      <c r="G184" s="29"/>
      <c r="H184" s="29"/>
      <c r="I184" s="29"/>
      <c r="J184" s="29"/>
      <c r="K184" s="29"/>
      <c r="L184" s="29"/>
      <c r="M184" s="29"/>
      <c r="N184" s="28"/>
      <c r="O184" s="29"/>
      <c r="P184" s="29"/>
      <c r="Q184" s="29"/>
      <c r="R184" s="28"/>
      <c r="S184" s="29"/>
      <c r="T184" s="29"/>
      <c r="U184" s="29"/>
      <c r="V184" s="41"/>
      <c r="W184" s="2"/>
      <c r="X184" s="2"/>
    </row>
    <row r="185" spans="1:103" ht="52.5" customHeight="1">
      <c r="A185" s="42"/>
      <c r="B185" s="44" t="s">
        <v>373</v>
      </c>
      <c r="C185" s="60">
        <v>817</v>
      </c>
      <c r="D185" s="61" t="s">
        <v>127</v>
      </c>
      <c r="E185" s="37" t="s">
        <v>340</v>
      </c>
      <c r="F185" s="29">
        <f t="shared" ref="F185" si="211">G185+H185+I185</f>
        <v>52125.1</v>
      </c>
      <c r="G185" s="34">
        <v>1563.7</v>
      </c>
      <c r="H185" s="34">
        <v>50561.4</v>
      </c>
      <c r="I185" s="34"/>
      <c r="J185" s="29">
        <f t="shared" ref="J185" si="212">K185+L185+M185</f>
        <v>30514.9</v>
      </c>
      <c r="K185" s="34">
        <f>900+15.4</f>
        <v>915.4</v>
      </c>
      <c r="L185" s="34">
        <f>29100+499.5</f>
        <v>29599.5</v>
      </c>
      <c r="M185" s="34"/>
      <c r="N185" s="29">
        <f t="shared" ref="N185" si="213">O185+P185+Q185</f>
        <v>32564.6</v>
      </c>
      <c r="O185" s="34">
        <v>976.9</v>
      </c>
      <c r="P185" s="34">
        <v>31587.7</v>
      </c>
      <c r="Q185" s="34"/>
      <c r="R185" s="29">
        <f t="shared" ref="R185" si="214">S185+T185+U185</f>
        <v>45630.3</v>
      </c>
      <c r="S185" s="34">
        <v>1368.9</v>
      </c>
      <c r="T185" s="34">
        <v>44261.4</v>
      </c>
      <c r="U185" s="34"/>
      <c r="V185" s="75">
        <f t="shared" ref="V185" si="215">J185/F185</f>
        <v>0.58499999999999996</v>
      </c>
      <c r="W185" s="2"/>
      <c r="X185" s="2"/>
    </row>
    <row r="186" spans="1:103" ht="55.5" customHeight="1">
      <c r="A186" s="42"/>
      <c r="B186" s="44" t="s">
        <v>277</v>
      </c>
      <c r="C186" s="60">
        <v>817</v>
      </c>
      <c r="D186" s="61" t="s">
        <v>127</v>
      </c>
      <c r="E186" s="37" t="s">
        <v>278</v>
      </c>
      <c r="F186" s="29">
        <f t="shared" si="206"/>
        <v>0</v>
      </c>
      <c r="G186" s="34">
        <f>1164.5-1164.5</f>
        <v>0</v>
      </c>
      <c r="H186" s="34">
        <f>37653.5-37653.5</f>
        <v>0</v>
      </c>
      <c r="I186" s="34"/>
      <c r="J186" s="29">
        <f t="shared" ref="J186:J195" si="216">K186+L186+M186</f>
        <v>0</v>
      </c>
      <c r="K186" s="34"/>
      <c r="L186" s="34"/>
      <c r="M186" s="34"/>
      <c r="N186" s="29">
        <f t="shared" ref="N186:N195" si="217">O186+P186+Q186</f>
        <v>0</v>
      </c>
      <c r="O186" s="34">
        <f>677.8-677.8</f>
        <v>0</v>
      </c>
      <c r="P186" s="34">
        <f>21915.4-21915.4</f>
        <v>0</v>
      </c>
      <c r="Q186" s="34"/>
      <c r="R186" s="29">
        <f t="shared" ref="R186:R195" si="218">S186+T186+U186</f>
        <v>0</v>
      </c>
      <c r="S186" s="34">
        <f>862.2-862.2</f>
        <v>0</v>
      </c>
      <c r="T186" s="34">
        <f>27879.05-27879.05</f>
        <v>0</v>
      </c>
      <c r="U186" s="34"/>
      <c r="V186" s="75">
        <v>0</v>
      </c>
      <c r="W186" s="2"/>
      <c r="X186" s="2"/>
      <c r="Z186" s="19"/>
    </row>
    <row r="187" spans="1:103" ht="67.5" customHeight="1">
      <c r="A187" s="42"/>
      <c r="B187" s="44" t="s">
        <v>128</v>
      </c>
      <c r="C187" s="60">
        <v>817</v>
      </c>
      <c r="D187" s="61" t="s">
        <v>127</v>
      </c>
      <c r="E187" s="37" t="s">
        <v>279</v>
      </c>
      <c r="F187" s="29">
        <f t="shared" si="206"/>
        <v>0</v>
      </c>
      <c r="G187" s="34">
        <f>92.8-92.8</f>
        <v>0</v>
      </c>
      <c r="H187" s="34">
        <f>3000-3000</f>
        <v>0</v>
      </c>
      <c r="I187" s="34"/>
      <c r="J187" s="29">
        <f t="shared" si="216"/>
        <v>0</v>
      </c>
      <c r="K187" s="34"/>
      <c r="L187" s="34"/>
      <c r="M187" s="34"/>
      <c r="N187" s="29">
        <f t="shared" si="217"/>
        <v>0</v>
      </c>
      <c r="O187" s="34">
        <f>92.8-92.8</f>
        <v>0</v>
      </c>
      <c r="P187" s="34">
        <f>3000-3000</f>
        <v>0</v>
      </c>
      <c r="Q187" s="34"/>
      <c r="R187" s="29">
        <f t="shared" si="218"/>
        <v>0</v>
      </c>
      <c r="S187" s="34">
        <f>92.8-92.8</f>
        <v>0</v>
      </c>
      <c r="T187" s="34">
        <f>3000-3000</f>
        <v>0</v>
      </c>
      <c r="U187" s="34"/>
      <c r="V187" s="75">
        <v>0</v>
      </c>
      <c r="W187" s="2"/>
      <c r="X187" s="2"/>
    </row>
    <row r="188" spans="1:103" ht="46.5" customHeight="1">
      <c r="A188" s="42"/>
      <c r="B188" s="44" t="s">
        <v>144</v>
      </c>
      <c r="C188" s="60">
        <v>817</v>
      </c>
      <c r="D188" s="61" t="s">
        <v>127</v>
      </c>
      <c r="E188" s="37" t="s">
        <v>280</v>
      </c>
      <c r="F188" s="29">
        <f t="shared" si="206"/>
        <v>0</v>
      </c>
      <c r="G188" s="34">
        <f>306.4-306.4</f>
        <v>0</v>
      </c>
      <c r="H188" s="34">
        <f>9907.85-9907.85</f>
        <v>0</v>
      </c>
      <c r="I188" s="34"/>
      <c r="J188" s="29">
        <f t="shared" si="216"/>
        <v>0</v>
      </c>
      <c r="K188" s="34"/>
      <c r="L188" s="34"/>
      <c r="M188" s="34"/>
      <c r="N188" s="29">
        <f t="shared" si="217"/>
        <v>0</v>
      </c>
      <c r="O188" s="34">
        <f>206.36-206.36</f>
        <v>0</v>
      </c>
      <c r="P188" s="34">
        <f>6672.3-6672.3</f>
        <v>0</v>
      </c>
      <c r="Q188" s="34"/>
      <c r="R188" s="29">
        <f t="shared" si="218"/>
        <v>0</v>
      </c>
      <c r="S188" s="34">
        <f>413.9-413.9</f>
        <v>0</v>
      </c>
      <c r="T188" s="34">
        <f>13382.35-13382.35</f>
        <v>0</v>
      </c>
      <c r="U188" s="34"/>
      <c r="V188" s="75">
        <v>0</v>
      </c>
      <c r="W188" s="2"/>
      <c r="X188" s="2"/>
    </row>
    <row r="189" spans="1:103" ht="67.5" customHeight="1">
      <c r="A189" s="42"/>
      <c r="B189" s="44" t="s">
        <v>128</v>
      </c>
      <c r="C189" s="60">
        <v>817</v>
      </c>
      <c r="D189" s="61" t="s">
        <v>127</v>
      </c>
      <c r="E189" s="37" t="s">
        <v>281</v>
      </c>
      <c r="F189" s="29">
        <f t="shared" si="206"/>
        <v>1020.5</v>
      </c>
      <c r="G189" s="34">
        <v>1020.5</v>
      </c>
      <c r="H189" s="34">
        <v>0</v>
      </c>
      <c r="I189" s="34"/>
      <c r="J189" s="29">
        <f t="shared" si="216"/>
        <v>170.1</v>
      </c>
      <c r="K189" s="34">
        <v>170.1</v>
      </c>
      <c r="L189" s="34"/>
      <c r="M189" s="34"/>
      <c r="N189" s="29">
        <f t="shared" si="217"/>
        <v>1020.6</v>
      </c>
      <c r="O189" s="34">
        <v>1020.6</v>
      </c>
      <c r="P189" s="34">
        <v>0</v>
      </c>
      <c r="Q189" s="34"/>
      <c r="R189" s="29">
        <f t="shared" si="218"/>
        <v>1020.6</v>
      </c>
      <c r="S189" s="34">
        <v>1020.6</v>
      </c>
      <c r="T189" s="34">
        <v>0</v>
      </c>
      <c r="U189" s="34"/>
      <c r="V189" s="75">
        <f t="shared" si="205"/>
        <v>0.16700000000000001</v>
      </c>
      <c r="W189" s="2"/>
      <c r="X189" s="2"/>
    </row>
    <row r="190" spans="1:103" ht="73.5" customHeight="1">
      <c r="A190" s="42"/>
      <c r="B190" s="44" t="s">
        <v>270</v>
      </c>
      <c r="C190" s="60">
        <v>840</v>
      </c>
      <c r="D190" s="61" t="s">
        <v>74</v>
      </c>
      <c r="E190" s="37" t="s">
        <v>271</v>
      </c>
      <c r="F190" s="29">
        <f t="shared" si="206"/>
        <v>30089.200000000001</v>
      </c>
      <c r="G190" s="34">
        <f>902.7+0.02</f>
        <v>902.7</v>
      </c>
      <c r="H190" s="34">
        <v>29186.5</v>
      </c>
      <c r="I190" s="34"/>
      <c r="J190" s="29">
        <f t="shared" si="216"/>
        <v>30089.200000000001</v>
      </c>
      <c r="K190" s="34">
        <v>902.7</v>
      </c>
      <c r="L190" s="34">
        <v>29186.5</v>
      </c>
      <c r="M190" s="34"/>
      <c r="N190" s="29">
        <f t="shared" si="217"/>
        <v>13927</v>
      </c>
      <c r="O190" s="34">
        <v>417.8</v>
      </c>
      <c r="P190" s="34">
        <v>13509.2</v>
      </c>
      <c r="Q190" s="34"/>
      <c r="R190" s="29">
        <f t="shared" si="218"/>
        <v>30375.7</v>
      </c>
      <c r="S190" s="34">
        <v>911.3</v>
      </c>
      <c r="T190" s="34">
        <v>29464.400000000001</v>
      </c>
      <c r="U190" s="34"/>
      <c r="V190" s="75">
        <f t="shared" si="205"/>
        <v>1</v>
      </c>
      <c r="W190" s="2"/>
      <c r="X190" s="2"/>
    </row>
    <row r="191" spans="1:103" ht="72" customHeight="1">
      <c r="A191" s="42"/>
      <c r="B191" s="44" t="s">
        <v>272</v>
      </c>
      <c r="C191" s="60">
        <v>840</v>
      </c>
      <c r="D191" s="61" t="s">
        <v>74</v>
      </c>
      <c r="E191" s="37" t="s">
        <v>273</v>
      </c>
      <c r="F191" s="29">
        <f t="shared" si="206"/>
        <v>0</v>
      </c>
      <c r="G191" s="34">
        <f>1173.1-1173.1</f>
        <v>0</v>
      </c>
      <c r="H191" s="34"/>
      <c r="I191" s="34"/>
      <c r="J191" s="29">
        <f t="shared" si="216"/>
        <v>0</v>
      </c>
      <c r="K191" s="34"/>
      <c r="L191" s="34"/>
      <c r="M191" s="34"/>
      <c r="N191" s="29">
        <f t="shared" si="217"/>
        <v>46267.8</v>
      </c>
      <c r="O191" s="34">
        <v>1388</v>
      </c>
      <c r="P191" s="34">
        <v>44879.8</v>
      </c>
      <c r="Q191" s="34"/>
      <c r="R191" s="29">
        <f t="shared" si="218"/>
        <v>85774.6</v>
      </c>
      <c r="S191" s="34">
        <v>2573.1999999999998</v>
      </c>
      <c r="T191" s="34">
        <v>83201.399999999994</v>
      </c>
      <c r="U191" s="34"/>
      <c r="V191" s="75">
        <v>0</v>
      </c>
      <c r="W191" s="2"/>
      <c r="X191" s="2"/>
    </row>
    <row r="192" spans="1:103" ht="60.75" customHeight="1">
      <c r="A192" s="42"/>
      <c r="B192" s="44" t="s">
        <v>272</v>
      </c>
      <c r="C192" s="60">
        <v>801</v>
      </c>
      <c r="D192" s="61" t="s">
        <v>339</v>
      </c>
      <c r="E192" s="37" t="s">
        <v>273</v>
      </c>
      <c r="F192" s="29">
        <f t="shared" ref="F192" si="219">G192+H192+I192</f>
        <v>39105</v>
      </c>
      <c r="G192" s="34">
        <v>1173.0999999999999</v>
      </c>
      <c r="H192" s="34">
        <v>37931.9</v>
      </c>
      <c r="I192" s="34"/>
      <c r="J192" s="29">
        <f t="shared" ref="J192" si="220">K192+L192+M192</f>
        <v>39105</v>
      </c>
      <c r="K192" s="34">
        <v>1173.0999999999999</v>
      </c>
      <c r="L192" s="34">
        <v>37931.9</v>
      </c>
      <c r="M192" s="34"/>
      <c r="N192" s="29">
        <f t="shared" ref="N192" si="221">O192+P192+Q192</f>
        <v>0</v>
      </c>
      <c r="O192" s="34"/>
      <c r="P192" s="34"/>
      <c r="Q192" s="34"/>
      <c r="R192" s="29">
        <f t="shared" ref="R192" si="222">S192+T192+U192</f>
        <v>0</v>
      </c>
      <c r="S192" s="34"/>
      <c r="T192" s="34"/>
      <c r="U192" s="34"/>
      <c r="V192" s="75">
        <f t="shared" ref="V192" si="223">J192/F192</f>
        <v>1</v>
      </c>
      <c r="W192" s="2"/>
      <c r="X192" s="2"/>
    </row>
    <row r="193" spans="1:103" ht="73.5" customHeight="1">
      <c r="A193" s="42"/>
      <c r="B193" s="44" t="s">
        <v>274</v>
      </c>
      <c r="C193" s="60">
        <v>840</v>
      </c>
      <c r="D193" s="61" t="s">
        <v>74</v>
      </c>
      <c r="E193" s="37" t="s">
        <v>275</v>
      </c>
      <c r="F193" s="29">
        <f t="shared" si="206"/>
        <v>0</v>
      </c>
      <c r="G193" s="34"/>
      <c r="H193" s="34"/>
      <c r="I193" s="34"/>
      <c r="J193" s="29">
        <f t="shared" si="216"/>
        <v>0</v>
      </c>
      <c r="K193" s="34"/>
      <c r="L193" s="34"/>
      <c r="M193" s="34"/>
      <c r="N193" s="29">
        <f t="shared" si="217"/>
        <v>0</v>
      </c>
      <c r="O193" s="34"/>
      <c r="P193" s="34"/>
      <c r="Q193" s="34"/>
      <c r="R193" s="29">
        <f t="shared" si="218"/>
        <v>180412.4</v>
      </c>
      <c r="S193" s="34">
        <v>5412.4</v>
      </c>
      <c r="T193" s="34">
        <v>175000</v>
      </c>
      <c r="U193" s="34"/>
      <c r="V193" s="75">
        <v>0</v>
      </c>
      <c r="W193" s="2"/>
      <c r="X193" s="2"/>
    </row>
    <row r="194" spans="1:103" ht="98.25" customHeight="1">
      <c r="A194" s="42"/>
      <c r="B194" s="44" t="s">
        <v>140</v>
      </c>
      <c r="C194" s="37">
        <v>840</v>
      </c>
      <c r="D194" s="38" t="s">
        <v>74</v>
      </c>
      <c r="E194" s="37" t="s">
        <v>139</v>
      </c>
      <c r="F194" s="29">
        <f t="shared" si="206"/>
        <v>2577.4</v>
      </c>
      <c r="G194" s="34">
        <f>108.3-30.9</f>
        <v>77.400000000000006</v>
      </c>
      <c r="H194" s="34">
        <f>3500-1000</f>
        <v>2500</v>
      </c>
      <c r="I194" s="34"/>
      <c r="J194" s="29">
        <f t="shared" si="216"/>
        <v>2577.3000000000002</v>
      </c>
      <c r="K194" s="34">
        <v>77.3</v>
      </c>
      <c r="L194" s="34">
        <v>2500</v>
      </c>
      <c r="M194" s="34"/>
      <c r="N194" s="29">
        <f t="shared" si="217"/>
        <v>0</v>
      </c>
      <c r="O194" s="34"/>
      <c r="P194" s="34"/>
      <c r="Q194" s="34"/>
      <c r="R194" s="29">
        <f t="shared" si="218"/>
        <v>0</v>
      </c>
      <c r="S194" s="34"/>
      <c r="T194" s="34"/>
      <c r="U194" s="34"/>
      <c r="V194" s="75">
        <f t="shared" si="205"/>
        <v>1</v>
      </c>
      <c r="W194" s="2"/>
      <c r="X194" s="2"/>
    </row>
    <row r="195" spans="1:103" ht="72" customHeight="1">
      <c r="A195" s="42"/>
      <c r="B195" s="44" t="s">
        <v>308</v>
      </c>
      <c r="C195" s="37">
        <v>840</v>
      </c>
      <c r="D195" s="38" t="s">
        <v>74</v>
      </c>
      <c r="E195" s="37" t="s">
        <v>240</v>
      </c>
      <c r="F195" s="29">
        <f t="shared" si="206"/>
        <v>18887.900000000001</v>
      </c>
      <c r="G195" s="34">
        <f>535.7+0.01+30.9</f>
        <v>566.6</v>
      </c>
      <c r="H195" s="34">
        <f>17321.3+1000</f>
        <v>18321.3</v>
      </c>
      <c r="I195" s="34"/>
      <c r="J195" s="29">
        <f t="shared" si="216"/>
        <v>18887.900000000001</v>
      </c>
      <c r="K195" s="34">
        <v>566.6</v>
      </c>
      <c r="L195" s="34">
        <v>18321.3</v>
      </c>
      <c r="M195" s="34"/>
      <c r="N195" s="29">
        <f t="shared" si="217"/>
        <v>21465.3</v>
      </c>
      <c r="O195" s="34">
        <v>644</v>
      </c>
      <c r="P195" s="34">
        <v>20821.3</v>
      </c>
      <c r="Q195" s="34"/>
      <c r="R195" s="29">
        <f t="shared" si="218"/>
        <v>21465.3</v>
      </c>
      <c r="S195" s="34">
        <v>644</v>
      </c>
      <c r="T195" s="34">
        <v>20821.3</v>
      </c>
      <c r="U195" s="34"/>
      <c r="V195" s="75">
        <f t="shared" si="205"/>
        <v>1</v>
      </c>
      <c r="W195" s="2"/>
      <c r="X195" s="2"/>
    </row>
    <row r="196" spans="1:103" ht="72" customHeight="1">
      <c r="A196" s="12" t="s">
        <v>126</v>
      </c>
      <c r="B196" s="26" t="s">
        <v>266</v>
      </c>
      <c r="C196" s="40" t="s">
        <v>12</v>
      </c>
      <c r="D196" s="87" t="s">
        <v>12</v>
      </c>
      <c r="E196" s="40" t="s">
        <v>12</v>
      </c>
      <c r="F196" s="28">
        <f t="shared" si="206"/>
        <v>3265.3</v>
      </c>
      <c r="G196" s="29">
        <f t="shared" ref="G196:T196" si="224">G198</f>
        <v>98</v>
      </c>
      <c r="H196" s="29">
        <f t="shared" si="224"/>
        <v>3167.3</v>
      </c>
      <c r="I196" s="29">
        <f t="shared" ref="I196" si="225">I198</f>
        <v>0</v>
      </c>
      <c r="J196" s="28">
        <f t="shared" ref="J196" si="226">K196+L196+M196</f>
        <v>3265.3</v>
      </c>
      <c r="K196" s="29">
        <f t="shared" ref="K196:M196" si="227">K198</f>
        <v>98</v>
      </c>
      <c r="L196" s="29">
        <f t="shared" si="227"/>
        <v>3167.3</v>
      </c>
      <c r="M196" s="29">
        <f t="shared" si="227"/>
        <v>0</v>
      </c>
      <c r="N196" s="28">
        <f t="shared" ref="N196" si="228">O196+P196+Q196</f>
        <v>5083.5</v>
      </c>
      <c r="O196" s="29">
        <f t="shared" si="224"/>
        <v>152.5</v>
      </c>
      <c r="P196" s="29">
        <f t="shared" si="224"/>
        <v>4931</v>
      </c>
      <c r="Q196" s="29">
        <f t="shared" si="224"/>
        <v>0</v>
      </c>
      <c r="R196" s="28">
        <f t="shared" ref="R196" si="229">S196+T196+U196</f>
        <v>6173.3</v>
      </c>
      <c r="S196" s="29">
        <f t="shared" si="224"/>
        <v>185.2</v>
      </c>
      <c r="T196" s="29">
        <f t="shared" si="224"/>
        <v>5988.1</v>
      </c>
      <c r="U196" s="29">
        <f t="shared" ref="U196" si="230">U198</f>
        <v>0</v>
      </c>
      <c r="V196" s="30">
        <f t="shared" si="205"/>
        <v>1</v>
      </c>
      <c r="W196" s="76" t="s">
        <v>360</v>
      </c>
      <c r="X196" s="2"/>
    </row>
    <row r="197" spans="1:103" ht="18.75">
      <c r="A197" s="42"/>
      <c r="B197" s="44" t="s">
        <v>15</v>
      </c>
      <c r="C197" s="33"/>
      <c r="D197" s="45"/>
      <c r="E197" s="33"/>
      <c r="F197" s="29"/>
      <c r="G197" s="34"/>
      <c r="H197" s="34"/>
      <c r="I197" s="34"/>
      <c r="J197" s="29"/>
      <c r="K197" s="34"/>
      <c r="L197" s="34"/>
      <c r="M197" s="34"/>
      <c r="N197" s="29"/>
      <c r="O197" s="34"/>
      <c r="P197" s="34"/>
      <c r="Q197" s="34"/>
      <c r="R197" s="29"/>
      <c r="S197" s="34"/>
      <c r="T197" s="34"/>
      <c r="U197" s="34"/>
      <c r="V197" s="75"/>
      <c r="W197" s="2"/>
      <c r="X197" s="2"/>
    </row>
    <row r="198" spans="1:103" ht="87" customHeight="1">
      <c r="A198" s="42"/>
      <c r="B198" s="44" t="s">
        <v>267</v>
      </c>
      <c r="C198" s="37">
        <v>840</v>
      </c>
      <c r="D198" s="38" t="s">
        <v>74</v>
      </c>
      <c r="E198" s="37" t="s">
        <v>265</v>
      </c>
      <c r="F198" s="29">
        <f t="shared" si="206"/>
        <v>3265.3</v>
      </c>
      <c r="G198" s="34">
        <f>98-0.04</f>
        <v>98</v>
      </c>
      <c r="H198" s="34">
        <v>3167.3</v>
      </c>
      <c r="I198" s="34"/>
      <c r="J198" s="29">
        <f t="shared" ref="J198:J200" si="231">K198+L198+M198</f>
        <v>3265.3</v>
      </c>
      <c r="K198" s="34">
        <v>98</v>
      </c>
      <c r="L198" s="34">
        <v>3167.3</v>
      </c>
      <c r="M198" s="34"/>
      <c r="N198" s="29">
        <f t="shared" ref="N198:N200" si="232">O198+P198+Q198</f>
        <v>5083.5</v>
      </c>
      <c r="O198" s="34">
        <v>152.5</v>
      </c>
      <c r="P198" s="34">
        <v>4931</v>
      </c>
      <c r="Q198" s="34"/>
      <c r="R198" s="29">
        <f t="shared" ref="R198:R200" si="233">S198+T198+U198</f>
        <v>6173.3</v>
      </c>
      <c r="S198" s="34">
        <v>185.2</v>
      </c>
      <c r="T198" s="34">
        <v>5988.1</v>
      </c>
      <c r="U198" s="34"/>
      <c r="V198" s="75">
        <f t="shared" si="205"/>
        <v>1</v>
      </c>
      <c r="W198" s="2"/>
      <c r="X198" s="2"/>
    </row>
    <row r="199" spans="1:103" s="83" customFormat="1" ht="51.75" customHeight="1">
      <c r="A199" s="20" t="s">
        <v>129</v>
      </c>
      <c r="B199" s="72" t="s">
        <v>130</v>
      </c>
      <c r="C199" s="22" t="s">
        <v>12</v>
      </c>
      <c r="D199" s="22" t="s">
        <v>12</v>
      </c>
      <c r="E199" s="22" t="s">
        <v>12</v>
      </c>
      <c r="F199" s="53">
        <f t="shared" si="206"/>
        <v>16009.7</v>
      </c>
      <c r="G199" s="53">
        <f>G200</f>
        <v>4000</v>
      </c>
      <c r="H199" s="53">
        <f>H200</f>
        <v>12009.7</v>
      </c>
      <c r="I199" s="53">
        <f>I200</f>
        <v>0</v>
      </c>
      <c r="J199" s="53">
        <f t="shared" si="231"/>
        <v>12429.1</v>
      </c>
      <c r="K199" s="53">
        <f>K200</f>
        <v>1500</v>
      </c>
      <c r="L199" s="53">
        <f>L200</f>
        <v>10929.1</v>
      </c>
      <c r="M199" s="53">
        <f>M200</f>
        <v>0</v>
      </c>
      <c r="N199" s="53">
        <f t="shared" si="232"/>
        <v>1500</v>
      </c>
      <c r="O199" s="53">
        <f>O200</f>
        <v>1500</v>
      </c>
      <c r="P199" s="53">
        <f>P200</f>
        <v>0</v>
      </c>
      <c r="Q199" s="53">
        <f>Q200</f>
        <v>0</v>
      </c>
      <c r="R199" s="53">
        <f t="shared" si="233"/>
        <v>1500</v>
      </c>
      <c r="S199" s="53">
        <f>S200</f>
        <v>1500</v>
      </c>
      <c r="T199" s="53">
        <f>T200</f>
        <v>0</v>
      </c>
      <c r="U199" s="53">
        <f>U200</f>
        <v>0</v>
      </c>
      <c r="V199" s="54">
        <f t="shared" si="205"/>
        <v>0.77600000000000002</v>
      </c>
      <c r="W199" s="2"/>
      <c r="X199" s="2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</row>
    <row r="200" spans="1:103" ht="64.5" customHeight="1">
      <c r="A200" s="12" t="s">
        <v>131</v>
      </c>
      <c r="B200" s="26" t="s">
        <v>132</v>
      </c>
      <c r="C200" s="40" t="s">
        <v>12</v>
      </c>
      <c r="D200" s="40" t="s">
        <v>12</v>
      </c>
      <c r="E200" s="40" t="s">
        <v>12</v>
      </c>
      <c r="F200" s="29">
        <f t="shared" si="206"/>
        <v>16009.7</v>
      </c>
      <c r="G200" s="29">
        <f>SUM(G202:G203)</f>
        <v>4000</v>
      </c>
      <c r="H200" s="29">
        <f>SUM(H202:H203)</f>
        <v>12009.7</v>
      </c>
      <c r="I200" s="29">
        <f>SUM(I202:I203)</f>
        <v>0</v>
      </c>
      <c r="J200" s="29">
        <f t="shared" si="231"/>
        <v>12429.1</v>
      </c>
      <c r="K200" s="29">
        <f>SUM(K202:K203)</f>
        <v>1500</v>
      </c>
      <c r="L200" s="29">
        <f>SUM(L202:L203)</f>
        <v>10929.1</v>
      </c>
      <c r="M200" s="29">
        <f>SUM(M202:M203)</f>
        <v>0</v>
      </c>
      <c r="N200" s="28">
        <f t="shared" si="232"/>
        <v>1500</v>
      </c>
      <c r="O200" s="29">
        <f>SUM(O202:O203)</f>
        <v>1500</v>
      </c>
      <c r="P200" s="29">
        <f>SUM(P202:P203)</f>
        <v>0</v>
      </c>
      <c r="Q200" s="29">
        <f>SUM(Q202:Q203)</f>
        <v>0</v>
      </c>
      <c r="R200" s="28">
        <f t="shared" si="233"/>
        <v>1500</v>
      </c>
      <c r="S200" s="29">
        <f>SUM(S202:S203)</f>
        <v>1500</v>
      </c>
      <c r="T200" s="29">
        <f>SUM(T202:T203)</f>
        <v>0</v>
      </c>
      <c r="U200" s="29">
        <f>SUM(U202:U203)</f>
        <v>0</v>
      </c>
      <c r="V200" s="41">
        <f t="shared" si="205"/>
        <v>0.77600000000000002</v>
      </c>
      <c r="W200" s="46" t="s">
        <v>374</v>
      </c>
      <c r="X200" s="2"/>
    </row>
    <row r="201" spans="1:103" ht="18.75">
      <c r="A201" s="42"/>
      <c r="B201" s="73" t="s">
        <v>15</v>
      </c>
      <c r="C201" s="33"/>
      <c r="D201" s="33"/>
      <c r="E201" s="33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41"/>
      <c r="W201" s="2"/>
      <c r="X201" s="2"/>
    </row>
    <row r="202" spans="1:103" ht="66">
      <c r="A202" s="42"/>
      <c r="B202" s="44" t="s">
        <v>141</v>
      </c>
      <c r="C202" s="37">
        <v>840</v>
      </c>
      <c r="D202" s="38" t="s">
        <v>74</v>
      </c>
      <c r="E202" s="37" t="s">
        <v>142</v>
      </c>
      <c r="F202" s="29">
        <f t="shared" si="206"/>
        <v>13509.7</v>
      </c>
      <c r="G202" s="34">
        <v>1500</v>
      </c>
      <c r="H202" s="34">
        <v>12009.7</v>
      </c>
      <c r="I202" s="34"/>
      <c r="J202" s="29">
        <f t="shared" ref="J202:J203" si="234">K202+L202+M202</f>
        <v>12429.1</v>
      </c>
      <c r="K202" s="34">
        <v>1500</v>
      </c>
      <c r="L202" s="34">
        <v>10929.1</v>
      </c>
      <c r="M202" s="34"/>
      <c r="N202" s="29">
        <f t="shared" ref="N202:N203" si="235">O202+P202+Q202</f>
        <v>1500</v>
      </c>
      <c r="O202" s="34">
        <v>1500</v>
      </c>
      <c r="P202" s="34"/>
      <c r="Q202" s="34"/>
      <c r="R202" s="29">
        <f t="shared" ref="R202:R203" si="236">S202+T202+U202</f>
        <v>1500</v>
      </c>
      <c r="S202" s="34">
        <v>1500</v>
      </c>
      <c r="T202" s="34"/>
      <c r="U202" s="34"/>
      <c r="V202" s="75">
        <f t="shared" si="205"/>
        <v>0.92</v>
      </c>
      <c r="W202" s="2"/>
      <c r="X202" s="2"/>
    </row>
    <row r="203" spans="1:103" ht="42" customHeight="1">
      <c r="A203" s="42"/>
      <c r="B203" s="44" t="s">
        <v>229</v>
      </c>
      <c r="C203" s="37">
        <v>816</v>
      </c>
      <c r="D203" s="38" t="s">
        <v>53</v>
      </c>
      <c r="E203" s="37" t="s">
        <v>230</v>
      </c>
      <c r="F203" s="29">
        <f t="shared" si="206"/>
        <v>2500</v>
      </c>
      <c r="G203" s="34">
        <v>2500</v>
      </c>
      <c r="H203" s="34"/>
      <c r="I203" s="34"/>
      <c r="J203" s="29">
        <f t="shared" si="234"/>
        <v>0</v>
      </c>
      <c r="K203" s="34"/>
      <c r="L203" s="34"/>
      <c r="M203" s="34"/>
      <c r="N203" s="29">
        <f t="shared" si="235"/>
        <v>0</v>
      </c>
      <c r="O203" s="34"/>
      <c r="P203" s="34"/>
      <c r="Q203" s="34"/>
      <c r="R203" s="29">
        <f t="shared" si="236"/>
        <v>0</v>
      </c>
      <c r="S203" s="34"/>
      <c r="T203" s="34"/>
      <c r="U203" s="34"/>
      <c r="V203" s="75">
        <f t="shared" si="205"/>
        <v>0</v>
      </c>
      <c r="W203" s="2"/>
      <c r="X203" s="2"/>
    </row>
    <row r="204" spans="1:103" s="83" customFormat="1" ht="42.75" customHeight="1">
      <c r="A204" s="72">
        <v>11</v>
      </c>
      <c r="B204" s="72" t="s">
        <v>259</v>
      </c>
      <c r="C204" s="22" t="s">
        <v>12</v>
      </c>
      <c r="D204" s="22" t="s">
        <v>12</v>
      </c>
      <c r="E204" s="88" t="s">
        <v>12</v>
      </c>
      <c r="F204" s="53">
        <f t="shared" si="206"/>
        <v>16465.7</v>
      </c>
      <c r="G204" s="53">
        <f>G205</f>
        <v>494</v>
      </c>
      <c r="H204" s="53">
        <f>H205</f>
        <v>15971.7</v>
      </c>
      <c r="I204" s="53">
        <f>I205</f>
        <v>0</v>
      </c>
      <c r="J204" s="53">
        <f t="shared" ref="J204:J205" si="237">K204+L204+M204</f>
        <v>0</v>
      </c>
      <c r="K204" s="53">
        <f>K205</f>
        <v>0</v>
      </c>
      <c r="L204" s="53">
        <f>L205</f>
        <v>0</v>
      </c>
      <c r="M204" s="53">
        <f>M205</f>
        <v>0</v>
      </c>
      <c r="N204" s="53">
        <f t="shared" ref="N204:N205" si="238">O204+P204+Q204</f>
        <v>36758.400000000001</v>
      </c>
      <c r="O204" s="53">
        <f>O205</f>
        <v>2602.8000000000002</v>
      </c>
      <c r="P204" s="53">
        <f>P205</f>
        <v>34155.599999999999</v>
      </c>
      <c r="Q204" s="53">
        <f>Q205</f>
        <v>0</v>
      </c>
      <c r="R204" s="53">
        <f t="shared" ref="R204:R205" si="239">S204+T204+U204</f>
        <v>32179</v>
      </c>
      <c r="S204" s="53">
        <f>S205</f>
        <v>965.4</v>
      </c>
      <c r="T204" s="53">
        <f>T205</f>
        <v>31213.599999999999</v>
      </c>
      <c r="U204" s="53">
        <f>U205</f>
        <v>0</v>
      </c>
      <c r="V204" s="54">
        <f t="shared" si="205"/>
        <v>0</v>
      </c>
      <c r="W204" s="2"/>
      <c r="X204" s="2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</row>
    <row r="205" spans="1:103" s="9" customFormat="1" ht="39" customHeight="1">
      <c r="A205" s="25" t="s">
        <v>145</v>
      </c>
      <c r="B205" s="57" t="s">
        <v>146</v>
      </c>
      <c r="C205" s="27" t="s">
        <v>12</v>
      </c>
      <c r="D205" s="27" t="s">
        <v>12</v>
      </c>
      <c r="E205" s="27" t="s">
        <v>12</v>
      </c>
      <c r="F205" s="29">
        <f t="shared" si="206"/>
        <v>16465.7</v>
      </c>
      <c r="G205" s="29">
        <f t="shared" ref="G205:H205" si="240">SUM(G207:G208)</f>
        <v>494</v>
      </c>
      <c r="H205" s="29">
        <f t="shared" si="240"/>
        <v>15971.7</v>
      </c>
      <c r="I205" s="29">
        <f t="shared" ref="I205" si="241">SUM(I207:I208)</f>
        <v>0</v>
      </c>
      <c r="J205" s="29">
        <f t="shared" si="237"/>
        <v>0</v>
      </c>
      <c r="K205" s="29">
        <f t="shared" ref="K205:M205" si="242">SUM(K207:K208)</f>
        <v>0</v>
      </c>
      <c r="L205" s="29">
        <f t="shared" si="242"/>
        <v>0</v>
      </c>
      <c r="M205" s="29">
        <f t="shared" si="242"/>
        <v>0</v>
      </c>
      <c r="N205" s="29">
        <f t="shared" si="238"/>
        <v>36758.400000000001</v>
      </c>
      <c r="O205" s="29">
        <f t="shared" ref="O205:T205" si="243">SUM(O207:O208)</f>
        <v>2602.8000000000002</v>
      </c>
      <c r="P205" s="29">
        <f t="shared" si="243"/>
        <v>34155.599999999999</v>
      </c>
      <c r="Q205" s="29">
        <f t="shared" si="243"/>
        <v>0</v>
      </c>
      <c r="R205" s="29">
        <f t="shared" si="239"/>
        <v>32179</v>
      </c>
      <c r="S205" s="29">
        <f t="shared" si="243"/>
        <v>965.4</v>
      </c>
      <c r="T205" s="29">
        <f t="shared" si="243"/>
        <v>31213.599999999999</v>
      </c>
      <c r="U205" s="29">
        <f t="shared" ref="U205" si="244">SUM(U207:U208)</f>
        <v>0</v>
      </c>
      <c r="V205" s="41">
        <f t="shared" si="205"/>
        <v>0</v>
      </c>
      <c r="W205" s="76" t="s">
        <v>370</v>
      </c>
      <c r="X205" s="2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</row>
    <row r="206" spans="1:103" ht="18.75">
      <c r="A206" s="15"/>
      <c r="B206" s="78" t="s">
        <v>15</v>
      </c>
      <c r="C206" s="67"/>
      <c r="D206" s="67"/>
      <c r="E206" s="67"/>
      <c r="F206" s="29"/>
      <c r="G206" s="29"/>
      <c r="H206" s="29"/>
      <c r="I206" s="29"/>
      <c r="J206" s="29"/>
      <c r="K206" s="29"/>
      <c r="L206" s="29"/>
      <c r="M206" s="29"/>
      <c r="N206" s="28"/>
      <c r="O206" s="29"/>
      <c r="P206" s="29"/>
      <c r="Q206" s="29"/>
      <c r="R206" s="28"/>
      <c r="S206" s="29"/>
      <c r="T206" s="29"/>
      <c r="U206" s="29"/>
      <c r="V206" s="41"/>
      <c r="W206" s="2"/>
      <c r="X206" s="2"/>
    </row>
    <row r="207" spans="1:103" ht="49.5">
      <c r="A207" s="89"/>
      <c r="B207" s="36" t="s">
        <v>147</v>
      </c>
      <c r="C207" s="68">
        <v>818</v>
      </c>
      <c r="D207" s="69" t="s">
        <v>148</v>
      </c>
      <c r="E207" s="68" t="s">
        <v>149</v>
      </c>
      <c r="F207" s="29">
        <f t="shared" si="206"/>
        <v>0</v>
      </c>
      <c r="G207" s="34"/>
      <c r="H207" s="34"/>
      <c r="I207" s="34"/>
      <c r="J207" s="29">
        <f t="shared" ref="J207:J208" si="245">K207+L207+M207</f>
        <v>0</v>
      </c>
      <c r="K207" s="34"/>
      <c r="L207" s="34"/>
      <c r="M207" s="34"/>
      <c r="N207" s="28">
        <f t="shared" ref="N207:N208" si="246">O207+P207+Q207</f>
        <v>1546.4</v>
      </c>
      <c r="O207" s="34">
        <v>1546.4</v>
      </c>
      <c r="P207" s="34"/>
      <c r="Q207" s="34"/>
      <c r="R207" s="28">
        <f t="shared" ref="R207:R208" si="247">S207+T207+U207</f>
        <v>0</v>
      </c>
      <c r="S207" s="34"/>
      <c r="T207" s="34"/>
      <c r="U207" s="34"/>
      <c r="V207" s="75"/>
      <c r="W207" s="2"/>
      <c r="X207" s="2"/>
    </row>
    <row r="208" spans="1:103" ht="54.75" customHeight="1">
      <c r="A208" s="89"/>
      <c r="B208" s="36" t="s">
        <v>309</v>
      </c>
      <c r="C208" s="68">
        <v>817</v>
      </c>
      <c r="D208" s="69" t="s">
        <v>127</v>
      </c>
      <c r="E208" s="68" t="s">
        <v>252</v>
      </c>
      <c r="F208" s="29">
        <f t="shared" si="206"/>
        <v>16465.7</v>
      </c>
      <c r="G208" s="34">
        <f>1215.7+0.01-721.7</f>
        <v>494</v>
      </c>
      <c r="H208" s="34">
        <f>39308-23336.3</f>
        <v>15971.7</v>
      </c>
      <c r="I208" s="34"/>
      <c r="J208" s="29">
        <f t="shared" si="245"/>
        <v>0</v>
      </c>
      <c r="K208" s="34"/>
      <c r="L208" s="34"/>
      <c r="M208" s="34"/>
      <c r="N208" s="28">
        <f t="shared" si="246"/>
        <v>35212</v>
      </c>
      <c r="O208" s="34">
        <f>1056.4-0.04</f>
        <v>1056.4000000000001</v>
      </c>
      <c r="P208" s="34">
        <v>34155.599999999999</v>
      </c>
      <c r="Q208" s="34"/>
      <c r="R208" s="28">
        <f t="shared" si="247"/>
        <v>32179</v>
      </c>
      <c r="S208" s="34">
        <f>965.4-0.03</f>
        <v>965.4</v>
      </c>
      <c r="T208" s="34">
        <v>31213.599999999999</v>
      </c>
      <c r="U208" s="34"/>
      <c r="V208" s="75">
        <f t="shared" si="205"/>
        <v>0</v>
      </c>
      <c r="W208" s="2"/>
      <c r="X208" s="2"/>
    </row>
    <row r="209" spans="2:22">
      <c r="B209" s="6" t="s">
        <v>321</v>
      </c>
    </row>
    <row r="210" spans="2:22">
      <c r="B210" s="6" t="s">
        <v>257</v>
      </c>
    </row>
    <row r="211" spans="2:22"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</row>
    <row r="212" spans="2:22"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</row>
    <row r="213" spans="2:22"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</row>
    <row r="214" spans="2:22"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</row>
    <row r="215" spans="2:22"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</row>
    <row r="216" spans="2:22"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</row>
    <row r="217" spans="2:22" ht="22.15" customHeight="1"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</row>
    <row r="218" spans="2:22" ht="22.15" customHeight="1"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</row>
    <row r="219" spans="2:22" ht="22.15" customHeight="1"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</row>
    <row r="220" spans="2:22" ht="22.15" customHeight="1"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</row>
    <row r="221" spans="2:22" ht="21" customHeight="1"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</row>
    <row r="222" spans="2:22" ht="21" customHeight="1"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</row>
    <row r="223" spans="2:22" ht="21" customHeight="1"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4" spans="2:22" ht="21" customHeight="1"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</row>
    <row r="225" spans="6:22" ht="17.45" customHeight="1"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</row>
    <row r="226" spans="6:22" ht="16.149999999999999" customHeight="1"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</row>
    <row r="227" spans="6:22" ht="17.45" customHeight="1"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</row>
    <row r="228" spans="6:22" ht="20.45" customHeight="1"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</row>
    <row r="229" spans="6:22" ht="16.149999999999999" customHeight="1"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</row>
    <row r="230" spans="6:22" ht="17.45" customHeight="1"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</row>
    <row r="231" spans="6:22" ht="17.45" customHeight="1"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</row>
    <row r="232" spans="6:22"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</row>
    <row r="233" spans="6:22"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</row>
    <row r="234" spans="6:22"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</row>
    <row r="235" spans="6:22"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</row>
    <row r="236" spans="6:22"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</row>
    <row r="237" spans="6:22"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8" spans="6:22"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</row>
    <row r="239" spans="6:22"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</row>
    <row r="240" spans="6:22"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</row>
    <row r="241" spans="6:22"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</row>
    <row r="242" spans="6:22"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</row>
    <row r="243" spans="6:22"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</row>
    <row r="244" spans="6:22"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</row>
    <row r="245" spans="6:22"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</row>
    <row r="246" spans="6:22"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</row>
    <row r="247" spans="6:22"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</row>
    <row r="248" spans="6:22"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</row>
    <row r="249" spans="6:22"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</row>
  </sheetData>
  <customSheetViews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60" showPageBreaks="1" printArea="1" showAutoFilter="1">
      <pane xSplit="1" ySplit="7" topLeftCell="B8" activePane="bottomRight" state="frozen"/>
      <selection pane="bottomRight" activeCell="Z16" sqref="Z16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  <autoFilter ref="E12:E208"/>
    </customSheetView>
  </customSheetViews>
  <mergeCells count="17">
    <mergeCell ref="R4:U4"/>
    <mergeCell ref="R5:U5"/>
    <mergeCell ref="V4:V6"/>
    <mergeCell ref="W4:W6"/>
    <mergeCell ref="X4:X6"/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2021-07-07T04:25:20Z</cp:lastPrinted>
  <dcterms:created xsi:type="dcterms:W3CDTF">2006-09-28T05:33:49Z</dcterms:created>
  <dcterms:modified xsi:type="dcterms:W3CDTF">2021-08-03T07:49:32Z</dcterms:modified>
</cp:coreProperties>
</file>