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revisions/revisionLog1.xml" ContentType="application/vnd.openxmlformats-officedocument.spreadsheetml.revisionLog+xml"/>
  <Override PartName="/xl/revisions/revisionLog1111.xml" ContentType="application/vnd.openxmlformats-officedocument.spreadsheetml.revisionLog+xml"/>
  <Override PartName="/xl/revisions/revisionLog12111.xml" ContentType="application/vnd.openxmlformats-officedocument.spreadsheetml.revisionLog+xml"/>
  <Override PartName="/xl/revisions/revisionLog13111.xml" ContentType="application/vnd.openxmlformats-officedocument.spreadsheetml.revisionLog+xml"/>
  <Override PartName="/xl/revisions/revisionLog119.xml" ContentType="application/vnd.openxmlformats-officedocument.spreadsheetml.revisionLog+xml"/>
  <Override PartName="/xl/revisions/revisionLog118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Override PartName="/xl/revisions/revisionLog116.xml" ContentType="application/vnd.openxmlformats-officedocument.spreadsheetml.revisionLog+xml"/>
  <Override PartName="/xl/revisions/revisionLog131111.xml" ContentType="application/vnd.openxmlformats-officedocument.spreadsheetml.revisionLog+xml"/>
  <Default Extension="rels" ContentType="application/vnd.openxmlformats-package.relationships+xml"/>
  <Override PartName="/xl/revisions/revisionLog115.xml" ContentType="application/vnd.openxmlformats-officedocument.spreadsheetml.revisionLog+xml"/>
  <Override PartName="/xl/revisions/revisionLog121111.xml" ContentType="application/vnd.openxmlformats-officedocument.spreadsheetml.revisionLog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revisions/revisionLog121.xml" ContentType="application/vnd.openxmlformats-officedocument.spreadsheetml.revisionLog+xml"/>
  <Override PartName="/xl/revisions/revisionLog112.xml" ContentType="application/vnd.openxmlformats-officedocument.spreadsheetml.revisionLog+xml"/>
  <Override PartName="/xl/revisions/revisionLog113.xml" ContentType="application/vnd.openxmlformats-officedocument.spreadsheetml.revisionLog+xml"/>
  <Override PartName="/xl/revisions/revisionLog1212.xml" ContentType="application/vnd.openxmlformats-officedocument.spreadsheetml.revisionLog+xml"/>
  <Override PartName="/xl/revisions/revisionLog131.xml" ContentType="application/vnd.openxmlformats-officedocument.spreadsheetml.revisionLog+xml"/>
  <Override PartName="/xl/revisions/revisionLog122.xml" ContentType="application/vnd.openxmlformats-officedocument.spreadsheetml.revisionLog+xml"/>
  <Override PartName="/xl/revisions/revisionLog141.xml" ContentType="application/vnd.openxmlformats-officedocument.spreadsheetml.revisionLog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revisions/revisionHeaders.xml" ContentType="application/vnd.openxmlformats-officedocument.spreadsheetml.revisionHeaders+xml"/>
  <Override PartName="/xl/revisions/revisionLog12011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1211.xml" ContentType="application/vnd.openxmlformats-officedocument.spreadsheetml.revisionLog+xml"/>
  <Override PartName="/xl/revisions/revisionLog14.xml" ContentType="application/vnd.openxmlformats-officedocument.spreadsheetml.revisionLog+xml"/>
  <Override PartName="/xl/revisions/revisionLog120.xml" ContentType="application/vnd.openxmlformats-officedocument.spreadsheetml.revisionLog+xml"/>
  <Override PartName="/xl/revisions/revisionLog1201.xml" ContentType="application/vnd.openxmlformats-officedocument.spreadsheetml.revisionLo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revisions/revisionLog12.xml" ContentType="application/vnd.openxmlformats-officedocument.spreadsheetml.revisionLog+xml"/>
  <Override PartName="/xl/revisions/revisionLog13.xml" ContentType="application/vnd.openxmlformats-officedocument.spreadsheetml.revisionLog+xml"/>
  <Override PartName="/xl/sharedStrings.xml" ContentType="application/vnd.openxmlformats-officedocument.spreadsheetml.sharedStrings+xml"/>
  <Override PartName="/xl/revisions/revisionLog1191.xml" ContentType="application/vnd.openxmlformats-officedocument.spreadsheetml.revisionLog+xml"/>
  <Override PartName="/xl/revisions/revisionLog11.xml" ContentType="application/vnd.openxmlformats-officedocument.spreadsheetml.revisionLog+xml"/>
  <Override PartName="/docProps/core.xml" ContentType="application/vnd.openxmlformats-package.core-properties+xml"/>
  <Override PartName="/xl/revisions/revisionLog1311.xml" ContentType="application/vnd.openxmlformats-officedocument.spreadsheetml.revisionLog+xml"/>
  <Override PartName="/xl/revisions/revisionLog1111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320"/>
  </bookViews>
  <sheets>
    <sheet name="Лист1" sheetId="1" r:id="rId1"/>
    <sheet name="Лист2" sheetId="2" state="hidden" r:id="rId2"/>
  </sheets>
  <definedNames>
    <definedName name="_xlnm._FilterDatabase" localSheetId="0" hidden="1">Лист1!$E$12:$E$206</definedName>
    <definedName name="_xlnm._FilterDatabase" localSheetId="1" hidden="1">Лист2!$A$12:$H$15</definedName>
    <definedName name="Z_8DBC8541_9868_41A7_9A9F_A27FC80CBA37_.wvu.FilterData" localSheetId="0" hidden="1">Лист1!$A$4:$V$206</definedName>
    <definedName name="Z_8DBC8541_9868_41A7_9A9F_A27FC80CBA37_.wvu.PrintArea" localSheetId="0" hidden="1">Лист1!$A$1:$V$206</definedName>
    <definedName name="Z_8DBC8541_9868_41A7_9A9F_A27FC80CBA37_.wvu.PrintTitles" localSheetId="0" hidden="1">Лист1!$4:$7</definedName>
    <definedName name="Z_FE09AB06_1ECE_4486_BCA1_E9D85830708B_.wvu.FilterData" localSheetId="0" hidden="1">Лист1!$E$12:$E$206</definedName>
    <definedName name="Z_FE09AB06_1ECE_4486_BCA1_E9D85830708B_.wvu.FilterData" localSheetId="1" hidden="1">Лист2!$A$12:$H$15</definedName>
    <definedName name="Z_FE09AB06_1ECE_4486_BCA1_E9D85830708B_.wvu.PrintArea" localSheetId="0" hidden="1">Лист1!$A$1:$V$206</definedName>
    <definedName name="Z_FE09AB06_1ECE_4486_BCA1_E9D85830708B_.wvu.PrintTitles" localSheetId="0" hidden="1">Лист1!$4:$7</definedName>
    <definedName name="_xlnm.Print_Titles" localSheetId="0">Лист1!$4:$7</definedName>
    <definedName name="_xlnm.Print_Area" localSheetId="0">Лист1!$A$1:$V$206</definedName>
  </definedNames>
  <calcPr calcId="125725" fullPrecision="0"/>
  <customWorkbookViews>
    <customWorkbookView name="nma - Личное представление" guid="{FE09AB06-1ECE-4486-BCA1-E9D85830708B}" mergeInterval="0" personalView="1" maximized="1" xWindow="1" yWindow="1" windowWidth="1916" windowHeight="850" activeSheetId="1"/>
    <customWorkbookView name="gmp - Личное представление" guid="{8DBC8541-9868-41A7-9A9F-A27FC80CBA37}" mergeInterval="0" personalView="1" maximized="1" xWindow="1" yWindow="1" windowWidth="1916" windowHeight="845" activeSheetId="1"/>
  </customWorkbookViews>
</workbook>
</file>

<file path=xl/calcChain.xml><?xml version="1.0" encoding="utf-8"?>
<calcChain xmlns="http://schemas.openxmlformats.org/spreadsheetml/2006/main">
  <c r="H120" i="1"/>
  <c r="G19" l="1"/>
  <c r="K126" l="1"/>
  <c r="G158"/>
  <c r="K148"/>
  <c r="G148"/>
  <c r="K117"/>
  <c r="K23"/>
  <c r="K21"/>
  <c r="G52"/>
  <c r="K44"/>
  <c r="L117"/>
  <c r="L37"/>
  <c r="H56"/>
  <c r="T126"/>
  <c r="U126"/>
  <c r="S126"/>
  <c r="P126"/>
  <c r="Q126"/>
  <c r="O126"/>
  <c r="L126"/>
  <c r="M126"/>
  <c r="H126"/>
  <c r="I126"/>
  <c r="G126"/>
  <c r="F129"/>
  <c r="J129"/>
  <c r="N129"/>
  <c r="R129"/>
  <c r="F126" l="1"/>
  <c r="V129"/>
  <c r="F30"/>
  <c r="J30"/>
  <c r="N30"/>
  <c r="R30"/>
  <c r="S108"/>
  <c r="O108"/>
  <c r="G108"/>
  <c r="R121"/>
  <c r="N121"/>
  <c r="J121"/>
  <c r="F121"/>
  <c r="M118"/>
  <c r="G118"/>
  <c r="M10"/>
  <c r="H10"/>
  <c r="G10"/>
  <c r="R15"/>
  <c r="N15"/>
  <c r="J15"/>
  <c r="F15"/>
  <c r="U59"/>
  <c r="T59"/>
  <c r="Q59"/>
  <c r="P59"/>
  <c r="L59"/>
  <c r="M59"/>
  <c r="K59"/>
  <c r="G66"/>
  <c r="I59"/>
  <c r="H59"/>
  <c r="G59"/>
  <c r="R68"/>
  <c r="N68"/>
  <c r="J68"/>
  <c r="F68"/>
  <c r="G56"/>
  <c r="S204"/>
  <c r="O204"/>
  <c r="G204"/>
  <c r="G187"/>
  <c r="G191"/>
  <c r="G180"/>
  <c r="G179"/>
  <c r="G194"/>
  <c r="H148"/>
  <c r="V15" l="1"/>
  <c r="V68"/>
  <c r="V121"/>
  <c r="H52"/>
  <c r="F67" l="1"/>
  <c r="J67"/>
  <c r="N67"/>
  <c r="R67"/>
  <c r="V67" l="1"/>
  <c r="G35"/>
  <c r="G27" l="1"/>
  <c r="F33"/>
  <c r="G142" l="1"/>
  <c r="G141"/>
  <c r="F141" s="1"/>
  <c r="F120"/>
  <c r="R204"/>
  <c r="R203"/>
  <c r="R199"/>
  <c r="R198"/>
  <c r="R194"/>
  <c r="R191"/>
  <c r="R190"/>
  <c r="R189"/>
  <c r="R188"/>
  <c r="R187"/>
  <c r="R186"/>
  <c r="R185"/>
  <c r="R184"/>
  <c r="R183"/>
  <c r="R180"/>
  <c r="R179"/>
  <c r="R175"/>
  <c r="R174"/>
  <c r="R173"/>
  <c r="R170"/>
  <c r="R167"/>
  <c r="R166"/>
  <c r="R165"/>
  <c r="R164"/>
  <c r="R163"/>
  <c r="R162"/>
  <c r="R158"/>
  <c r="R157"/>
  <c r="R154"/>
  <c r="R153"/>
  <c r="R152"/>
  <c r="R151"/>
  <c r="R148"/>
  <c r="R144"/>
  <c r="R141"/>
  <c r="R140"/>
  <c r="R136"/>
  <c r="R135"/>
  <c r="R134"/>
  <c r="R130"/>
  <c r="R128"/>
  <c r="R125"/>
  <c r="R122"/>
  <c r="R120"/>
  <c r="R117"/>
  <c r="R113"/>
  <c r="R112"/>
  <c r="R109"/>
  <c r="R108"/>
  <c r="R107"/>
  <c r="R106"/>
  <c r="R103"/>
  <c r="R102"/>
  <c r="R99"/>
  <c r="R96"/>
  <c r="R92"/>
  <c r="R91"/>
  <c r="R90"/>
  <c r="R89"/>
  <c r="R88"/>
  <c r="R87"/>
  <c r="R84"/>
  <c r="R83"/>
  <c r="R82"/>
  <c r="R81"/>
  <c r="R80"/>
  <c r="R79"/>
  <c r="R76"/>
  <c r="R75"/>
  <c r="R74"/>
  <c r="R73"/>
  <c r="R72"/>
  <c r="R71"/>
  <c r="R66"/>
  <c r="R65"/>
  <c r="R64"/>
  <c r="R63"/>
  <c r="R62"/>
  <c r="R61"/>
  <c r="R57"/>
  <c r="R56"/>
  <c r="R55"/>
  <c r="R52"/>
  <c r="R49"/>
  <c r="R48"/>
  <c r="R45"/>
  <c r="R44"/>
  <c r="R43"/>
  <c r="R39"/>
  <c r="R38"/>
  <c r="R37"/>
  <c r="R34"/>
  <c r="R32"/>
  <c r="R31"/>
  <c r="R29"/>
  <c r="R26"/>
  <c r="R25"/>
  <c r="R24"/>
  <c r="R23"/>
  <c r="R22"/>
  <c r="R21"/>
  <c r="R20"/>
  <c r="R19"/>
  <c r="R16"/>
  <c r="R14"/>
  <c r="R13"/>
  <c r="R12"/>
  <c r="U201"/>
  <c r="U200" s="1"/>
  <c r="U196"/>
  <c r="U195" s="1"/>
  <c r="U192"/>
  <c r="U181"/>
  <c r="U177"/>
  <c r="U171"/>
  <c r="U168"/>
  <c r="U160"/>
  <c r="U155"/>
  <c r="U149"/>
  <c r="U146"/>
  <c r="U142"/>
  <c r="U138"/>
  <c r="U132"/>
  <c r="U123"/>
  <c r="U115"/>
  <c r="U110"/>
  <c r="U104"/>
  <c r="U100"/>
  <c r="U97"/>
  <c r="U94"/>
  <c r="U85"/>
  <c r="U77"/>
  <c r="U69"/>
  <c r="U53"/>
  <c r="U50"/>
  <c r="U46"/>
  <c r="U41"/>
  <c r="U35"/>
  <c r="U27"/>
  <c r="U17"/>
  <c r="U10"/>
  <c r="N12"/>
  <c r="N204"/>
  <c r="N203"/>
  <c r="N199"/>
  <c r="N198"/>
  <c r="N194"/>
  <c r="N191"/>
  <c r="N190"/>
  <c r="N189"/>
  <c r="N188"/>
  <c r="N187"/>
  <c r="N186"/>
  <c r="N185"/>
  <c r="N184"/>
  <c r="N183"/>
  <c r="N180"/>
  <c r="N179"/>
  <c r="N175"/>
  <c r="N174"/>
  <c r="N173"/>
  <c r="N170"/>
  <c r="N167"/>
  <c r="N166"/>
  <c r="N165"/>
  <c r="N164"/>
  <c r="N163"/>
  <c r="N162"/>
  <c r="N158"/>
  <c r="N157"/>
  <c r="N154"/>
  <c r="N153"/>
  <c r="N152"/>
  <c r="N151"/>
  <c r="N148"/>
  <c r="N144"/>
  <c r="N141"/>
  <c r="N140"/>
  <c r="N136"/>
  <c r="N135"/>
  <c r="N134"/>
  <c r="N130"/>
  <c r="N128"/>
  <c r="N125"/>
  <c r="N122"/>
  <c r="N120"/>
  <c r="N117"/>
  <c r="N113"/>
  <c r="N112"/>
  <c r="N109"/>
  <c r="N108"/>
  <c r="N107"/>
  <c r="N106"/>
  <c r="N103"/>
  <c r="N102"/>
  <c r="N99"/>
  <c r="N96"/>
  <c r="N92"/>
  <c r="N91"/>
  <c r="N90"/>
  <c r="N89"/>
  <c r="N88"/>
  <c r="N87"/>
  <c r="N84"/>
  <c r="N83"/>
  <c r="N82"/>
  <c r="N81"/>
  <c r="N80"/>
  <c r="N79"/>
  <c r="N76"/>
  <c r="N75"/>
  <c r="N74"/>
  <c r="N73"/>
  <c r="N72"/>
  <c r="N71"/>
  <c r="N66"/>
  <c r="N65"/>
  <c r="N64"/>
  <c r="N63"/>
  <c r="N62"/>
  <c r="N61"/>
  <c r="N57"/>
  <c r="N56"/>
  <c r="N55"/>
  <c r="N52"/>
  <c r="N49"/>
  <c r="N48"/>
  <c r="N45"/>
  <c r="N44"/>
  <c r="N43"/>
  <c r="N39"/>
  <c r="N38"/>
  <c r="N37"/>
  <c r="N34"/>
  <c r="N32"/>
  <c r="N31"/>
  <c r="N29"/>
  <c r="N26"/>
  <c r="N25"/>
  <c r="N24"/>
  <c r="N23"/>
  <c r="N22"/>
  <c r="N21"/>
  <c r="N20"/>
  <c r="N19"/>
  <c r="N16"/>
  <c r="N14"/>
  <c r="N13"/>
  <c r="Q201"/>
  <c r="Q200" s="1"/>
  <c r="Q196"/>
  <c r="Q195" s="1"/>
  <c r="Q192"/>
  <c r="Q181"/>
  <c r="Q177"/>
  <c r="Q171"/>
  <c r="Q168"/>
  <c r="Q160"/>
  <c r="Q155"/>
  <c r="Q149"/>
  <c r="Q146"/>
  <c r="Q142"/>
  <c r="Q138"/>
  <c r="Q132"/>
  <c r="Q123"/>
  <c r="Q115"/>
  <c r="Q110"/>
  <c r="Q104"/>
  <c r="Q100"/>
  <c r="Q97"/>
  <c r="Q94"/>
  <c r="Q85"/>
  <c r="Q77"/>
  <c r="Q69"/>
  <c r="Q53"/>
  <c r="Q50"/>
  <c r="Q46"/>
  <c r="Q41"/>
  <c r="Q35"/>
  <c r="Q27"/>
  <c r="Q17"/>
  <c r="Q10"/>
  <c r="J204"/>
  <c r="J203"/>
  <c r="M201"/>
  <c r="M200" s="1"/>
  <c r="L201"/>
  <c r="L200" s="1"/>
  <c r="K201"/>
  <c r="K200" s="1"/>
  <c r="J199"/>
  <c r="J198"/>
  <c r="M196"/>
  <c r="M195" s="1"/>
  <c r="L196"/>
  <c r="L195" s="1"/>
  <c r="K196"/>
  <c r="K195" s="1"/>
  <c r="J194"/>
  <c r="M192"/>
  <c r="L192"/>
  <c r="K192"/>
  <c r="J191"/>
  <c r="J190"/>
  <c r="J189"/>
  <c r="J188"/>
  <c r="J187"/>
  <c r="J186"/>
  <c r="J185"/>
  <c r="J184"/>
  <c r="J183"/>
  <c r="M181"/>
  <c r="L181"/>
  <c r="K181"/>
  <c r="J180"/>
  <c r="J179"/>
  <c r="M177"/>
  <c r="L177"/>
  <c r="K177"/>
  <c r="J175"/>
  <c r="J174"/>
  <c r="J173"/>
  <c r="M171"/>
  <c r="L171"/>
  <c r="K171"/>
  <c r="J170"/>
  <c r="M168"/>
  <c r="L168"/>
  <c r="K168"/>
  <c r="J167"/>
  <c r="J166"/>
  <c r="J165"/>
  <c r="J164"/>
  <c r="J163"/>
  <c r="J162"/>
  <c r="M160"/>
  <c r="L160"/>
  <c r="K160"/>
  <c r="J158"/>
  <c r="J157"/>
  <c r="M155"/>
  <c r="L155"/>
  <c r="K155"/>
  <c r="J154"/>
  <c r="J153"/>
  <c r="J152"/>
  <c r="J151"/>
  <c r="M149"/>
  <c r="L149"/>
  <c r="K149"/>
  <c r="J148"/>
  <c r="M146"/>
  <c r="L146"/>
  <c r="K146"/>
  <c r="J144"/>
  <c r="M142"/>
  <c r="L142"/>
  <c r="K142"/>
  <c r="J141"/>
  <c r="J140"/>
  <c r="M138"/>
  <c r="L138"/>
  <c r="K138"/>
  <c r="J136"/>
  <c r="J135"/>
  <c r="J134"/>
  <c r="M132"/>
  <c r="L132"/>
  <c r="K132"/>
  <c r="J130"/>
  <c r="J128"/>
  <c r="J125"/>
  <c r="M123"/>
  <c r="L123"/>
  <c r="K123"/>
  <c r="J122"/>
  <c r="J120"/>
  <c r="L118"/>
  <c r="K118"/>
  <c r="J117"/>
  <c r="M115"/>
  <c r="L115"/>
  <c r="K115"/>
  <c r="J113"/>
  <c r="J112"/>
  <c r="M110"/>
  <c r="L110"/>
  <c r="K110"/>
  <c r="J109"/>
  <c r="J108"/>
  <c r="J107"/>
  <c r="J106"/>
  <c r="M104"/>
  <c r="L104"/>
  <c r="K104"/>
  <c r="J103"/>
  <c r="J102"/>
  <c r="M100"/>
  <c r="L100"/>
  <c r="K100"/>
  <c r="J99"/>
  <c r="M97"/>
  <c r="L97"/>
  <c r="K97"/>
  <c r="J96"/>
  <c r="M94"/>
  <c r="L94"/>
  <c r="K94"/>
  <c r="J92"/>
  <c r="J91"/>
  <c r="J90"/>
  <c r="J89"/>
  <c r="J88"/>
  <c r="J87"/>
  <c r="M85"/>
  <c r="L85"/>
  <c r="K85"/>
  <c r="J84"/>
  <c r="J83"/>
  <c r="J82"/>
  <c r="J81"/>
  <c r="J80"/>
  <c r="J79"/>
  <c r="M77"/>
  <c r="L77"/>
  <c r="K77"/>
  <c r="J76"/>
  <c r="J75"/>
  <c r="J74"/>
  <c r="J73"/>
  <c r="J72"/>
  <c r="J71"/>
  <c r="M69"/>
  <c r="L69"/>
  <c r="K69"/>
  <c r="J66"/>
  <c r="J65"/>
  <c r="J64"/>
  <c r="J63"/>
  <c r="J62"/>
  <c r="J61"/>
  <c r="J57"/>
  <c r="J56"/>
  <c r="J55"/>
  <c r="M53"/>
  <c r="L53"/>
  <c r="K53"/>
  <c r="J52"/>
  <c r="M50"/>
  <c r="L50"/>
  <c r="K50"/>
  <c r="J49"/>
  <c r="J48"/>
  <c r="M46"/>
  <c r="L46"/>
  <c r="K46"/>
  <c r="J45"/>
  <c r="J44"/>
  <c r="J43"/>
  <c r="M41"/>
  <c r="L41"/>
  <c r="K41"/>
  <c r="J39"/>
  <c r="J38"/>
  <c r="J37"/>
  <c r="M35"/>
  <c r="L35"/>
  <c r="K35"/>
  <c r="J34"/>
  <c r="J32"/>
  <c r="J31"/>
  <c r="J29"/>
  <c r="M27"/>
  <c r="L27"/>
  <c r="K27"/>
  <c r="J26"/>
  <c r="J25"/>
  <c r="J24"/>
  <c r="J23"/>
  <c r="J22"/>
  <c r="J21"/>
  <c r="J20"/>
  <c r="J19"/>
  <c r="M17"/>
  <c r="L17"/>
  <c r="K17"/>
  <c r="J16"/>
  <c r="J14"/>
  <c r="J13"/>
  <c r="J12"/>
  <c r="L10"/>
  <c r="K10"/>
  <c r="F12"/>
  <c r="F13"/>
  <c r="F14"/>
  <c r="F16"/>
  <c r="F19"/>
  <c r="F20"/>
  <c r="F21"/>
  <c r="F22"/>
  <c r="F23"/>
  <c r="F24"/>
  <c r="F25"/>
  <c r="F26"/>
  <c r="F29"/>
  <c r="F31"/>
  <c r="F32"/>
  <c r="F34"/>
  <c r="F37"/>
  <c r="F38"/>
  <c r="F39"/>
  <c r="F43"/>
  <c r="F44"/>
  <c r="F45"/>
  <c r="F48"/>
  <c r="F49"/>
  <c r="F52"/>
  <c r="F55"/>
  <c r="F56"/>
  <c r="F57"/>
  <c r="F61"/>
  <c r="F62"/>
  <c r="F63"/>
  <c r="F64"/>
  <c r="F65"/>
  <c r="F66"/>
  <c r="F71"/>
  <c r="F72"/>
  <c r="F73"/>
  <c r="F74"/>
  <c r="F75"/>
  <c r="F76"/>
  <c r="F79"/>
  <c r="F80"/>
  <c r="F81"/>
  <c r="F82"/>
  <c r="F83"/>
  <c r="F84"/>
  <c r="F87"/>
  <c r="F88"/>
  <c r="F89"/>
  <c r="F90"/>
  <c r="F91"/>
  <c r="F92"/>
  <c r="F96"/>
  <c r="F99"/>
  <c r="F102"/>
  <c r="F103"/>
  <c r="F106"/>
  <c r="F107"/>
  <c r="F108"/>
  <c r="F109"/>
  <c r="F112"/>
  <c r="F113"/>
  <c r="F117"/>
  <c r="F122"/>
  <c r="F125"/>
  <c r="F128"/>
  <c r="F130"/>
  <c r="F134"/>
  <c r="F135"/>
  <c r="F136"/>
  <c r="F140"/>
  <c r="F144"/>
  <c r="F148"/>
  <c r="F151"/>
  <c r="F152"/>
  <c r="F153"/>
  <c r="F154"/>
  <c r="F157"/>
  <c r="F158"/>
  <c r="F162"/>
  <c r="F163"/>
  <c r="F164"/>
  <c r="F165"/>
  <c r="F166"/>
  <c r="F167"/>
  <c r="F170"/>
  <c r="F173"/>
  <c r="F174"/>
  <c r="F175"/>
  <c r="F179"/>
  <c r="F180"/>
  <c r="F183"/>
  <c r="F184"/>
  <c r="F185"/>
  <c r="F186"/>
  <c r="F187"/>
  <c r="F188"/>
  <c r="F189"/>
  <c r="F190"/>
  <c r="F191"/>
  <c r="F194"/>
  <c r="F198"/>
  <c r="F199"/>
  <c r="F203"/>
  <c r="F204"/>
  <c r="I201"/>
  <c r="I200" s="1"/>
  <c r="I196"/>
  <c r="I195" s="1"/>
  <c r="I192"/>
  <c r="I181"/>
  <c r="I177"/>
  <c r="I171"/>
  <c r="I168"/>
  <c r="I160"/>
  <c r="I155"/>
  <c r="I149"/>
  <c r="I146"/>
  <c r="I142"/>
  <c r="I138"/>
  <c r="I132"/>
  <c r="I123"/>
  <c r="I115"/>
  <c r="I110"/>
  <c r="I104"/>
  <c r="I100"/>
  <c r="I97"/>
  <c r="I94"/>
  <c r="I85"/>
  <c r="I77"/>
  <c r="I69"/>
  <c r="I53"/>
  <c r="I50"/>
  <c r="I46"/>
  <c r="I41"/>
  <c r="I35"/>
  <c r="I27"/>
  <c r="I17"/>
  <c r="I10"/>
  <c r="Q9" l="1"/>
  <c r="R59"/>
  <c r="V64"/>
  <c r="K58"/>
  <c r="I9"/>
  <c r="K131"/>
  <c r="I176"/>
  <c r="Q58"/>
  <c r="Q131"/>
  <c r="K176"/>
  <c r="Q176"/>
  <c r="M131"/>
  <c r="M176"/>
  <c r="L176"/>
  <c r="U176"/>
  <c r="U131"/>
  <c r="I131"/>
  <c r="L131"/>
  <c r="L58"/>
  <c r="U58"/>
  <c r="M58"/>
  <c r="I58"/>
  <c r="I40"/>
  <c r="L40"/>
  <c r="K40"/>
  <c r="U40"/>
  <c r="Q40"/>
  <c r="M40"/>
  <c r="L9"/>
  <c r="M9"/>
  <c r="K9"/>
  <c r="U9"/>
  <c r="V151"/>
  <c r="V108"/>
  <c r="V106"/>
  <c r="V167"/>
  <c r="V163"/>
  <c r="V14"/>
  <c r="V76"/>
  <c r="V74"/>
  <c r="V148"/>
  <c r="V154"/>
  <c r="V141"/>
  <c r="V55"/>
  <c r="V45"/>
  <c r="V43"/>
  <c r="V29"/>
  <c r="V21"/>
  <c r="V26"/>
  <c r="V44"/>
  <c r="V49"/>
  <c r="V56"/>
  <c r="V88"/>
  <c r="V96"/>
  <c r="V113"/>
  <c r="V117"/>
  <c r="V135"/>
  <c r="V183"/>
  <c r="V90"/>
  <c r="V87"/>
  <c r="V13"/>
  <c r="V57"/>
  <c r="V61"/>
  <c r="V66"/>
  <c r="V72"/>
  <c r="V75"/>
  <c r="V89"/>
  <c r="V109"/>
  <c r="V136"/>
  <c r="V152"/>
  <c r="V158"/>
  <c r="V170"/>
  <c r="V173"/>
  <c r="V184"/>
  <c r="V190"/>
  <c r="U159"/>
  <c r="V52"/>
  <c r="V73"/>
  <c r="V32"/>
  <c r="V34"/>
  <c r="V162"/>
  <c r="V198"/>
  <c r="I93"/>
  <c r="V120"/>
  <c r="V38"/>
  <c r="V12"/>
  <c r="V16"/>
  <c r="V37"/>
  <c r="V71"/>
  <c r="V80"/>
  <c r="V83"/>
  <c r="V175"/>
  <c r="V179"/>
  <c r="V81"/>
  <c r="V20"/>
  <c r="V23"/>
  <c r="V25"/>
  <c r="V31"/>
  <c r="V48"/>
  <c r="V63"/>
  <c r="V79"/>
  <c r="V82"/>
  <c r="V91"/>
  <c r="L93"/>
  <c r="J100"/>
  <c r="V130"/>
  <c r="V134"/>
  <c r="V144"/>
  <c r="V186"/>
  <c r="V188"/>
  <c r="V19"/>
  <c r="V22"/>
  <c r="V24"/>
  <c r="V39"/>
  <c r="V62"/>
  <c r="V84"/>
  <c r="V99"/>
  <c r="V107"/>
  <c r="V122"/>
  <c r="V125"/>
  <c r="V128"/>
  <c r="M145"/>
  <c r="V153"/>
  <c r="V174"/>
  <c r="V180"/>
  <c r="V185"/>
  <c r="V187"/>
  <c r="V191"/>
  <c r="V194"/>
  <c r="V199"/>
  <c r="V204"/>
  <c r="U145"/>
  <c r="M93"/>
  <c r="U93"/>
  <c r="J192"/>
  <c r="J201"/>
  <c r="U114"/>
  <c r="J85"/>
  <c r="Q145"/>
  <c r="J115"/>
  <c r="M114"/>
  <c r="Q159"/>
  <c r="M159"/>
  <c r="J97"/>
  <c r="J104"/>
  <c r="J142"/>
  <c r="J171"/>
  <c r="I145"/>
  <c r="J27"/>
  <c r="J94"/>
  <c r="J123"/>
  <c r="J138"/>
  <c r="Q114"/>
  <c r="J53"/>
  <c r="L145"/>
  <c r="J155"/>
  <c r="Q93"/>
  <c r="J181"/>
  <c r="L159"/>
  <c r="J168"/>
  <c r="J160"/>
  <c r="K145"/>
  <c r="J146"/>
  <c r="J132"/>
  <c r="J126"/>
  <c r="L114"/>
  <c r="K114"/>
  <c r="J110"/>
  <c r="J77"/>
  <c r="J69"/>
  <c r="J59"/>
  <c r="J50"/>
  <c r="J46"/>
  <c r="J41"/>
  <c r="J35"/>
  <c r="J17"/>
  <c r="J10"/>
  <c r="J149"/>
  <c r="K159"/>
  <c r="J177"/>
  <c r="J196"/>
  <c r="K93"/>
  <c r="J118"/>
  <c r="I159"/>
  <c r="I114"/>
  <c r="J176" l="1"/>
  <c r="J145"/>
  <c r="J195"/>
  <c r="M8"/>
  <c r="J93"/>
  <c r="J114"/>
  <c r="J200"/>
  <c r="U8"/>
  <c r="Q8"/>
  <c r="J159"/>
  <c r="J131"/>
  <c r="J58"/>
  <c r="L8"/>
  <c r="J40"/>
  <c r="J9"/>
  <c r="K8"/>
  <c r="I8"/>
  <c r="J8" l="1"/>
  <c r="G138" l="1"/>
  <c r="H138"/>
  <c r="O138"/>
  <c r="P138"/>
  <c r="S138"/>
  <c r="T138"/>
  <c r="G110"/>
  <c r="H110"/>
  <c r="O110"/>
  <c r="P110"/>
  <c r="S110"/>
  <c r="T110"/>
  <c r="G123"/>
  <c r="H123"/>
  <c r="O123"/>
  <c r="P123"/>
  <c r="S123"/>
  <c r="T123"/>
  <c r="G192"/>
  <c r="H192"/>
  <c r="O192"/>
  <c r="P192"/>
  <c r="S192"/>
  <c r="T192"/>
  <c r="T201"/>
  <c r="T200" s="1"/>
  <c r="S201"/>
  <c r="S200" s="1"/>
  <c r="T196"/>
  <c r="T195" s="1"/>
  <c r="S196"/>
  <c r="S195" s="1"/>
  <c r="T181"/>
  <c r="S181"/>
  <c r="T177"/>
  <c r="S177"/>
  <c r="T171"/>
  <c r="S171"/>
  <c r="T168"/>
  <c r="S168"/>
  <c r="T160"/>
  <c r="S160"/>
  <c r="T155"/>
  <c r="S155"/>
  <c r="T149"/>
  <c r="S149"/>
  <c r="T146"/>
  <c r="S146"/>
  <c r="T142"/>
  <c r="S142"/>
  <c r="T132"/>
  <c r="S132"/>
  <c r="T118"/>
  <c r="S118"/>
  <c r="T115"/>
  <c r="S115"/>
  <c r="T104"/>
  <c r="S104"/>
  <c r="T100"/>
  <c r="S100"/>
  <c r="T97"/>
  <c r="S97"/>
  <c r="T94"/>
  <c r="S94"/>
  <c r="T85"/>
  <c r="S85"/>
  <c r="T77"/>
  <c r="S77"/>
  <c r="T69"/>
  <c r="S69"/>
  <c r="S59"/>
  <c r="T53"/>
  <c r="S53"/>
  <c r="T50"/>
  <c r="S50"/>
  <c r="T46"/>
  <c r="S46"/>
  <c r="T41"/>
  <c r="S41"/>
  <c r="T35"/>
  <c r="S35"/>
  <c r="T27"/>
  <c r="S27"/>
  <c r="T17"/>
  <c r="S17"/>
  <c r="T10"/>
  <c r="S10"/>
  <c r="P201"/>
  <c r="P200" s="1"/>
  <c r="O201"/>
  <c r="O200" s="1"/>
  <c r="P196"/>
  <c r="P195" s="1"/>
  <c r="O196"/>
  <c r="O195" s="1"/>
  <c r="P181"/>
  <c r="O181"/>
  <c r="P177"/>
  <c r="O177"/>
  <c r="P171"/>
  <c r="O171"/>
  <c r="P168"/>
  <c r="O168"/>
  <c r="P160"/>
  <c r="O160"/>
  <c r="P155"/>
  <c r="O155"/>
  <c r="P149"/>
  <c r="O149"/>
  <c r="P146"/>
  <c r="O146"/>
  <c r="P142"/>
  <c r="O142"/>
  <c r="P132"/>
  <c r="O132"/>
  <c r="P118"/>
  <c r="O118"/>
  <c r="P115"/>
  <c r="O115"/>
  <c r="P104"/>
  <c r="O104"/>
  <c r="P100"/>
  <c r="O100"/>
  <c r="P97"/>
  <c r="O97"/>
  <c r="P94"/>
  <c r="O94"/>
  <c r="P85"/>
  <c r="O85"/>
  <c r="P77"/>
  <c r="O77"/>
  <c r="P69"/>
  <c r="O69"/>
  <c r="O59"/>
  <c r="P53"/>
  <c r="O53"/>
  <c r="P50"/>
  <c r="O50"/>
  <c r="P46"/>
  <c r="O46"/>
  <c r="P41"/>
  <c r="O41"/>
  <c r="P35"/>
  <c r="O35"/>
  <c r="P27"/>
  <c r="O27"/>
  <c r="P17"/>
  <c r="O17"/>
  <c r="P10"/>
  <c r="O10"/>
  <c r="H201"/>
  <c r="H200" s="1"/>
  <c r="G201"/>
  <c r="G200" s="1"/>
  <c r="G196"/>
  <c r="G195" s="1"/>
  <c r="H181"/>
  <c r="G181"/>
  <c r="H177"/>
  <c r="G177"/>
  <c r="G171"/>
  <c r="H171"/>
  <c r="H168"/>
  <c r="G168"/>
  <c r="H160"/>
  <c r="H155"/>
  <c r="G155"/>
  <c r="H149"/>
  <c r="H146"/>
  <c r="G146"/>
  <c r="H142"/>
  <c r="H132"/>
  <c r="G132"/>
  <c r="H118"/>
  <c r="G115"/>
  <c r="H115"/>
  <c r="H104"/>
  <c r="H100"/>
  <c r="H97"/>
  <c r="H94"/>
  <c r="G85"/>
  <c r="H85"/>
  <c r="H77"/>
  <c r="G69"/>
  <c r="H69"/>
  <c r="H50"/>
  <c r="G50"/>
  <c r="G46"/>
  <c r="H41"/>
  <c r="H17"/>
  <c r="P9" l="1"/>
  <c r="R138"/>
  <c r="G131"/>
  <c r="O131"/>
  <c r="O176"/>
  <c r="O58"/>
  <c r="G176"/>
  <c r="H176"/>
  <c r="P58"/>
  <c r="P131"/>
  <c r="P176"/>
  <c r="H131"/>
  <c r="T58"/>
  <c r="T131"/>
  <c r="T176"/>
  <c r="S58"/>
  <c r="S131"/>
  <c r="S176"/>
  <c r="O9"/>
  <c r="O40"/>
  <c r="S40"/>
  <c r="P40"/>
  <c r="T40"/>
  <c r="T9"/>
  <c r="S9"/>
  <c r="R192"/>
  <c r="R17"/>
  <c r="R35"/>
  <c r="R41"/>
  <c r="R53"/>
  <c r="R69"/>
  <c r="R85"/>
  <c r="R94"/>
  <c r="R100"/>
  <c r="R115"/>
  <c r="R132"/>
  <c r="R146"/>
  <c r="R168"/>
  <c r="R177"/>
  <c r="R196"/>
  <c r="R10"/>
  <c r="R27"/>
  <c r="R46"/>
  <c r="R50"/>
  <c r="R77"/>
  <c r="R97"/>
  <c r="R104"/>
  <c r="R118"/>
  <c r="R142"/>
  <c r="R149"/>
  <c r="R160"/>
  <c r="R171"/>
  <c r="R181"/>
  <c r="R126"/>
  <c r="R155"/>
  <c r="R123"/>
  <c r="R201"/>
  <c r="R110"/>
  <c r="N118"/>
  <c r="F192"/>
  <c r="V192" s="1"/>
  <c r="N123"/>
  <c r="N126"/>
  <c r="N110"/>
  <c r="N138"/>
  <c r="N201"/>
  <c r="N17"/>
  <c r="N35"/>
  <c r="N41"/>
  <c r="N53"/>
  <c r="N69"/>
  <c r="N85"/>
  <c r="N94"/>
  <c r="N100"/>
  <c r="N115"/>
  <c r="N132"/>
  <c r="N146"/>
  <c r="N155"/>
  <c r="N168"/>
  <c r="N177"/>
  <c r="N196"/>
  <c r="N10"/>
  <c r="N27"/>
  <c r="N46"/>
  <c r="N50"/>
  <c r="N59"/>
  <c r="N77"/>
  <c r="N97"/>
  <c r="N104"/>
  <c r="N142"/>
  <c r="N149"/>
  <c r="N160"/>
  <c r="N171"/>
  <c r="N181"/>
  <c r="N192"/>
  <c r="F123"/>
  <c r="V123" s="1"/>
  <c r="V126"/>
  <c r="F110"/>
  <c r="V110" s="1"/>
  <c r="F138"/>
  <c r="V138" s="1"/>
  <c r="F85"/>
  <c r="V85" s="1"/>
  <c r="F115"/>
  <c r="V115" s="1"/>
  <c r="F146"/>
  <c r="V146" s="1"/>
  <c r="F181"/>
  <c r="V181" s="1"/>
  <c r="F201"/>
  <c r="V201" s="1"/>
  <c r="F50"/>
  <c r="V50" s="1"/>
  <c r="F132"/>
  <c r="V132" s="1"/>
  <c r="F142"/>
  <c r="V142" s="1"/>
  <c r="F168"/>
  <c r="V168" s="1"/>
  <c r="F177"/>
  <c r="F155"/>
  <c r="V155" s="1"/>
  <c r="F69"/>
  <c r="V69" s="1"/>
  <c r="F171"/>
  <c r="V171" s="1"/>
  <c r="T114"/>
  <c r="P114"/>
  <c r="P145"/>
  <c r="T159"/>
  <c r="O114"/>
  <c r="S114"/>
  <c r="T145"/>
  <c r="H114"/>
  <c r="P159"/>
  <c r="H145"/>
  <c r="T93"/>
  <c r="P93"/>
  <c r="H159"/>
  <c r="S145"/>
  <c r="O159"/>
  <c r="S93"/>
  <c r="S159"/>
  <c r="O93"/>
  <c r="O145"/>
  <c r="G41"/>
  <c r="G160"/>
  <c r="H35"/>
  <c r="F35" s="1"/>
  <c r="V35" s="1"/>
  <c r="G149"/>
  <c r="H27"/>
  <c r="F27" s="1"/>
  <c r="V27" s="1"/>
  <c r="H46"/>
  <c r="F46" s="1"/>
  <c r="V46" s="1"/>
  <c r="G104"/>
  <c r="F104" s="1"/>
  <c r="V104" s="1"/>
  <c r="G17"/>
  <c r="F17" s="1"/>
  <c r="V17" s="1"/>
  <c r="H58"/>
  <c r="H93"/>
  <c r="G94"/>
  <c r="F94" s="1"/>
  <c r="V94" s="1"/>
  <c r="G100"/>
  <c r="F100" s="1"/>
  <c r="G97"/>
  <c r="F97" s="1"/>
  <c r="V97" s="1"/>
  <c r="H196"/>
  <c r="H195" s="1"/>
  <c r="H53"/>
  <c r="G53"/>
  <c r="G77"/>
  <c r="F77" s="1"/>
  <c r="V77" s="1"/>
  <c r="G58" l="1"/>
  <c r="F58" s="1"/>
  <c r="V58" s="1"/>
  <c r="V177"/>
  <c r="F176"/>
  <c r="V176" s="1"/>
  <c r="H40"/>
  <c r="F41"/>
  <c r="V41" s="1"/>
  <c r="G40"/>
  <c r="N131"/>
  <c r="H9"/>
  <c r="G9"/>
  <c r="R114"/>
  <c r="R176"/>
  <c r="R9"/>
  <c r="R159"/>
  <c r="R200"/>
  <c r="R195"/>
  <c r="R131"/>
  <c r="R58"/>
  <c r="N176"/>
  <c r="N114"/>
  <c r="N93"/>
  <c r="N9"/>
  <c r="R93"/>
  <c r="R145"/>
  <c r="N200"/>
  <c r="N159"/>
  <c r="R40"/>
  <c r="N145"/>
  <c r="G114"/>
  <c r="F114" s="1"/>
  <c r="V114" s="1"/>
  <c r="F118"/>
  <c r="V118" s="1"/>
  <c r="N40"/>
  <c r="N195"/>
  <c r="N58"/>
  <c r="F59"/>
  <c r="V59" s="1"/>
  <c r="G159"/>
  <c r="F159" s="1"/>
  <c r="V159" s="1"/>
  <c r="F160"/>
  <c r="V160" s="1"/>
  <c r="F195"/>
  <c r="V195" s="1"/>
  <c r="F53"/>
  <c r="V53" s="1"/>
  <c r="F200"/>
  <c r="V200" s="1"/>
  <c r="G145"/>
  <c r="F145" s="1"/>
  <c r="V145" s="1"/>
  <c r="F149"/>
  <c r="V149" s="1"/>
  <c r="F131"/>
  <c r="V131" s="1"/>
  <c r="F10"/>
  <c r="V10" s="1"/>
  <c r="F196"/>
  <c r="V196" s="1"/>
  <c r="T8"/>
  <c r="P8"/>
  <c r="O8"/>
  <c r="S8"/>
  <c r="G93"/>
  <c r="F93" s="1"/>
  <c r="V93" s="1"/>
  <c r="R8" l="1"/>
  <c r="N8"/>
  <c r="F40"/>
  <c r="V40" s="1"/>
  <c r="F9"/>
  <c r="V9" s="1"/>
  <c r="H8"/>
  <c r="G8"/>
  <c r="F8" l="1"/>
  <c r="V8" s="1"/>
</calcChain>
</file>

<file path=xl/sharedStrings.xml><?xml version="1.0" encoding="utf-8"?>
<sst xmlns="http://schemas.openxmlformats.org/spreadsheetml/2006/main" count="642" uniqueCount="345">
  <si>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</si>
  <si>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</si>
  <si>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</si>
  <si>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</si>
  <si>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</si>
  <si>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</si>
  <si>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</si>
  <si>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</si>
  <si>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</si>
  <si>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</si>
  <si>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</si>
  <si>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</si>
  <si>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</si>
  <si>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</si>
  <si>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Региональный проект "Старшее поколение", всего</t>
  </si>
  <si>
    <t>из них</t>
  </si>
  <si>
    <t>Департамент труда и занятости населения Томской области</t>
  </si>
  <si>
    <t>Департамент здравоохранения Томской области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</si>
  <si>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</si>
  <si>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</si>
  <si>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</si>
  <si>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</si>
  <si>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</si>
  <si>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</si>
  <si>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</si>
  <si>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</si>
  <si>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</si>
  <si>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</si>
  <si>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</si>
  <si>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1.4</t>
  </si>
  <si>
    <t>Региональный проект "Финансовая поддержка семей при рождении детей", всего</t>
  </si>
  <si>
    <t>Осуществление ежемесячной выплаты в связи с рождением (усыновлением) первого ребенка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</si>
  <si>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</si>
  <si>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</si>
  <si>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</si>
  <si>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</si>
  <si>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</si>
  <si>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</si>
  <si>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</si>
  <si>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</si>
  <si>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</si>
  <si>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</si>
  <si>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</si>
  <si>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(ЕГИСЗ)", всего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</si>
  <si>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</si>
  <si>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</si>
  <si>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</si>
  <si>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</si>
  <si>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</si>
  <si>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</si>
  <si>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</si>
  <si>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</si>
  <si>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</si>
  <si>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</si>
  <si>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</si>
  <si>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</si>
  <si>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</si>
  <si>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</si>
  <si>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Создание центров выявления и поддержки одаренных детей</t>
  </si>
  <si>
    <t>Внедрение целевой модели развития региональных систем дополнительного образования детей</t>
  </si>
  <si>
    <t>3.4</t>
  </si>
  <si>
    <t>Региональный проект "Молодые профессионалы (Повышение конкурентоспособности профессионального образования)", всего</t>
  </si>
  <si>
    <t>Государственная поддержка профессиональных образовательных организаций в целях обеспечения соответствия их материально-технической базы современным требованиям</t>
  </si>
  <si>
    <t>Функционирование центра опережающей профессиональной подготовки</t>
  </si>
  <si>
    <t>Обеспечение проведения аттестации обучающихся по программам среднего профессионального образования с использованием механизма демонстрационного экзамена</t>
  </si>
  <si>
    <t>Внедрение программ профессионального обучения по наиболее востребованным и перспективным профессиям на уровне, соответствующем стандартам Ворлдскиллс, с учетом продолжительности программ не более 6 месяцев</t>
  </si>
  <si>
    <t>Повышение квалификации преподавателей (мастеров производственного обучения) по программам, основанным на опыте Союза Ворлдскиллс Россия</t>
  </si>
  <si>
    <t>4</t>
  </si>
  <si>
    <t>Национальный проект "Цифровая экономика"</t>
  </si>
  <si>
    <t>4.1</t>
  </si>
  <si>
    <t>Региональный проект "Кадры для цифровой экономики", всего</t>
  </si>
  <si>
    <t>4.2</t>
  </si>
  <si>
    <t>Региональный проект "Цифровые технологии"</t>
  </si>
  <si>
    <t>Финансовое обеспечение затрат, возникающих при реализации проекта "Цифровые технологии"</t>
  </si>
  <si>
    <t>Департамент по развитию инновационной и предпринимательской деятельности Томской области</t>
  </si>
  <si>
    <t>4.3</t>
  </si>
  <si>
    <t>Региональный проект "Информационная безопасность"</t>
  </si>
  <si>
    <t>Администрация Томской области</t>
  </si>
  <si>
    <t>4.4</t>
  </si>
  <si>
    <t>Региональный проект "Цифровое государственное управление"</t>
  </si>
  <si>
    <t>Внедрение цифровых технологий и платформенных решений в сферах государственного управления и оказания государственных и муниципальных услуг</t>
  </si>
  <si>
    <t>Обеспечение возможности доступа пользователей в модели "одного окна" посредством единого портала государственных и муниципальных услуг (функций) к информации, созданной органами государственной власти, органами местного самоуправления и органами государственных внебюджетных фондов, а также к иной общедоступной информации</t>
  </si>
  <si>
    <t>4.5</t>
  </si>
  <si>
    <t>Региональный проект "Информационная инфраструктура"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</si>
  <si>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</si>
  <si>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</si>
  <si>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</si>
  <si>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</si>
  <si>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</si>
  <si>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</si>
  <si>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</si>
  <si>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</si>
  <si>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</si>
  <si>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Региональный проект "Сохранение лесов", всего</t>
  </si>
  <si>
    <t>Увеличение площади лесовосстановления</t>
  </si>
  <si>
    <t>Департамент лесного хозяйства Томской области</t>
  </si>
  <si>
    <t>Оснащение учреждений, выполняющих мероприятия по воспроизводству лесов, специализированной лесохозяйственной техникой и оборудованием для проведения комплекса мероприятий по лесовосстановлению и лесоразведению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</si>
  <si>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</si>
  <si>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6.2</t>
  </si>
  <si>
    <t>Региональный проект "Чистая вода", всего</t>
  </si>
  <si>
    <t>Строительство и реконструкция (модернизация) объектов питьевого водоснабжения</t>
  </si>
  <si>
    <t>Департамент ЖКХ и государственного жилищного надзора Томской области</t>
  </si>
  <si>
    <t>6.3</t>
  </si>
  <si>
    <t>Департамент природных ресурсов и охраны окружающей среды Томской области</t>
  </si>
  <si>
    <t>Региональный проект «Сохранение уникальных водных объектов»</t>
  </si>
  <si>
    <t>Восстановление и экологическая реабилитация водных объектов</t>
  </si>
  <si>
    <t>7</t>
  </si>
  <si>
    <t>Национальный проект "Безопасные и качественные автомобильные дороги"</t>
  </si>
  <si>
    <t>7.1</t>
  </si>
  <si>
    <t>Региональный проект "Дорожная сеть", всего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</si>
  <si>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</si>
  <si>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</si>
  <si>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</si>
  <si>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</si>
  <si>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</si>
  <si>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</si>
  <si>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</si>
  <si>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</si>
  <si>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"Цифровая культура"</t>
  </si>
  <si>
    <t>Создание виртуальных концертных залов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</si>
  <si>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</si>
  <si>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</si>
  <si>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</si>
  <si>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</si>
  <si>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</si>
  <si>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Региональный проект "Расширение доступа субъектов малого и среднего предпринимательства к финансовым ресурсам, в том числе к льготному финансированию", всего</t>
  </si>
  <si>
    <t>9.2</t>
  </si>
  <si>
    <t>Региональный проект "Акселерация субъектов малого и среднего предпринимательства", всего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</si>
  <si>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</si>
  <si>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</si>
  <si>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</si>
  <si>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</si>
  <si>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</si>
  <si>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</si>
  <si>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Региональный проект "Адресная поддержка повышения производительности труда на предприятиях", всего</t>
  </si>
  <si>
    <t>Капитальный ремонт муниципальных спортивных сооружений</t>
  </si>
  <si>
    <t>Переселение граждан из аварийного жилищного фонда за счет средств, поступивших от Фонда содействия реформированию жилищно-коммунального хозяйства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</si>
  <si>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</si>
  <si>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</si>
  <si>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 xml:space="preserve">Создание новых мест в общеобразовательных организациях </t>
  </si>
  <si>
    <t>03WI455272</t>
  </si>
  <si>
    <t>Поддержка малого и среднего предпринимательства в субъектах Российской Федерации по созданию и развитию государственной микрофинансовой организации</t>
  </si>
  <si>
    <t>03WI555274</t>
  </si>
  <si>
    <t>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 - Центре кластерного развития Томской области</t>
  </si>
  <si>
    <t>Поддержка субъектов Российской Федерации - участников национального проекта "Производительность труда и поддержка занятости"</t>
  </si>
  <si>
    <t>03WL252961</t>
  </si>
  <si>
    <t>Повышение эффективности службы занятости</t>
  </si>
  <si>
    <t>Возмещение части затрат сельскохозяйственных потребительских кооперативов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</si>
  <si>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</si>
  <si>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</si>
  <si>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</si>
  <si>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</si>
  <si>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</si>
  <si>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Оснащение медицинских организаций передвижными медицинскими комплексами для оказания медицинской помощи жителям населенных пунктов с численностью населения до 100 человек</t>
  </si>
  <si>
    <t>07WN151910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</si>
  <si>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</si>
  <si>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</si>
  <si>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</si>
  <si>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</si>
  <si>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</si>
  <si>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</si>
  <si>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07WN352270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</si>
  <si>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</si>
  <si>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</si>
  <si>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</si>
  <si>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Создание и модернизация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</si>
  <si>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08WP551390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</si>
  <si>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</si>
  <si>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</si>
  <si>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</si>
  <si>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09WE151690</t>
  </si>
  <si>
    <t>Обновление материально-технической базы в организациях, осуществляющих образовательную деятельность исключительно по адаптированным основным общеобразовательным программам</t>
  </si>
  <si>
    <t>09WE151870</t>
  </si>
  <si>
    <t>09WE155200</t>
  </si>
  <si>
    <t>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</si>
  <si>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09WE250970</t>
  </si>
  <si>
    <t>09WE252470</t>
  </si>
  <si>
    <t>Создание мобильных технопарков "Кванториум"</t>
  </si>
  <si>
    <t>09WE254910</t>
  </si>
  <si>
    <t>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</si>
  <si>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09WE452100</t>
  </si>
  <si>
    <t>Создание центров цифрового образования детей</t>
  </si>
  <si>
    <t>09WE452190</t>
  </si>
  <si>
    <t>09WP252320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</si>
  <si>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</si>
  <si>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</si>
  <si>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10WA154540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</si>
  <si>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</si>
  <si>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</si>
  <si>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</si>
  <si>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Государственная поддержка отрасли культуры</t>
  </si>
  <si>
    <t>10WA155190</t>
  </si>
  <si>
    <t>10WA354530</t>
  </si>
  <si>
    <t>11WP150840</t>
  </si>
  <si>
    <t>11WP155730</t>
  </si>
  <si>
    <t>11WP351210</t>
  </si>
  <si>
    <t>13WF255550</t>
  </si>
  <si>
    <t>13WF367483</t>
  </si>
  <si>
    <t>15WG850570</t>
  </si>
  <si>
    <t>15WGА54290</t>
  </si>
  <si>
    <t>15WGА54300</t>
  </si>
  <si>
    <t>15WGА54320</t>
  </si>
  <si>
    <t>18WR153930</t>
  </si>
  <si>
    <t>Региональный проект «Чистая страна»</t>
  </si>
  <si>
    <t>26WG152420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</si>
  <si>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</si>
  <si>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20WD622700</t>
  </si>
  <si>
    <t>Внедрение в деятельность органов государственной власти и органов местного самоуправления, а также подведомственных им организаций межведомственного юридически значимого электронного документооборота с применением электронной подписи, базирующегося на единых инфраструктурных, технологических и методологических решениях</t>
  </si>
  <si>
    <t>20WD622500</t>
  </si>
  <si>
    <t>20WD620400</t>
  </si>
  <si>
    <t>20WD623500</t>
  </si>
  <si>
    <t>20WD461632</t>
  </si>
  <si>
    <t>Обеспечение использования отечественных разработок и технологий при передаче, обработке и хранении данных</t>
  </si>
  <si>
    <t>20WD464142</t>
  </si>
  <si>
    <t>Обеспечение устойчивости и безопасности функционирования информационной инфраструктуры и сервисов передачи, обработки и хранения данных</t>
  </si>
  <si>
    <t>11WP1Д0840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</si>
  <si>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</si>
  <si>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</si>
  <si>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</si>
  <si>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</si>
  <si>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</si>
  <si>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</si>
  <si>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</si>
  <si>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</si>
  <si>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09WE452102</t>
  </si>
  <si>
    <t>09WE251890</t>
  </si>
  <si>
    <t>09WE661635</t>
  </si>
  <si>
    <t>09WE661637</t>
  </si>
  <si>
    <t>Вовлечение в различные формы наставничества обучающихся организаций, осуществляющих образовательную деятельность по образовательным программам среднего профессионального образования</t>
  </si>
  <si>
    <t>09WE661624</t>
  </si>
  <si>
    <t>09WE661634</t>
  </si>
  <si>
    <t>09WE661636</t>
  </si>
  <si>
    <t>Функционирование учебной производственной площадки "Фабрика процессов"</t>
  </si>
  <si>
    <t>03WL252962</t>
  </si>
  <si>
    <t>09WE452101</t>
  </si>
  <si>
    <t>09WE651771</t>
  </si>
  <si>
    <t>08WP540010</t>
  </si>
  <si>
    <t>13WF367484</t>
  </si>
  <si>
    <t>Региональный проект "Общесистемные меры развития дорожного хозяйства", всего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</si>
  <si>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</si>
  <si>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02WD501700</t>
  </si>
  <si>
    <t>18WR353930</t>
  </si>
  <si>
    <t>7.2</t>
  </si>
  <si>
    <t>03WI555276</t>
  </si>
  <si>
    <t>11WP354680</t>
  </si>
  <si>
    <t>18WR254180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</si>
  <si>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</si>
  <si>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09WE255371</t>
  </si>
  <si>
    <t>Информационно-методическое сопровождение кружкового движения и организация проведения Олимпиады Национальной технологической инициативы (Олимпиады НТИ)</t>
  </si>
  <si>
    <t>09WE255372</t>
  </si>
  <si>
    <t>Внедрение и функционирование целевой модели цифровой образовательной среды в муниципальных общеобразовательных организациях</t>
  </si>
  <si>
    <t>09WE441900</t>
  </si>
  <si>
    <t>7.3</t>
  </si>
  <si>
    <t>Региональный проект "Безопасность дорожного движения", всего</t>
  </si>
  <si>
    <t>11WP35121И</t>
  </si>
  <si>
    <t>06WT252590</t>
  </si>
  <si>
    <t>Развитие и распространение лучшего опыта в сфере формирования цифровых навыков образовательных организаций, осуществляющих образовательную деятельность по общеобразовательным программам, имеющих лучшие результаты в преподавании предметных областей "Математика", "Информатика" и "Технология"</t>
  </si>
  <si>
    <t>09WD367714</t>
  </si>
  <si>
    <t xml:space="preserve">Новое строительство и реконструкция </t>
  </si>
  <si>
    <t>07WN352271</t>
  </si>
  <si>
    <t>11WP351211</t>
  </si>
  <si>
    <t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</t>
  </si>
  <si>
    <t>09WP241070</t>
  </si>
  <si>
    <t>Оснащение зданий для размещения дошкольных образовательных организаций оборудованием, предусмотренным проектной документацией</t>
  </si>
  <si>
    <t>Национальный проект "Международная кооперация и экспорт"</t>
  </si>
  <si>
    <t>8.3</t>
  </si>
  <si>
    <t>2021 год</t>
  </si>
  <si>
    <t>2022 год</t>
  </si>
  <si>
    <t>2023 год</t>
  </si>
  <si>
    <t>(тыс. рублей)</t>
  </si>
  <si>
    <t>03WI255271</t>
  </si>
  <si>
    <t>Региональный проект "Создание благоприятных условий для осуществления деятельности самозанятыми гражданами", всего</t>
  </si>
  <si>
    <t>Поддержка малого и среднего предпринимательства по созданию благоприятных условий для осуществления деятельности самозанятыми гражданами</t>
  </si>
  <si>
    <t>Реализация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</si>
  <si>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03WI455273</t>
  </si>
  <si>
    <t>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</si>
  <si>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03WI555277</t>
  </si>
  <si>
    <t>Докапитализация Гарантийного фонда Томской области</t>
  </si>
  <si>
    <t>03WI555278</t>
  </si>
  <si>
    <t>Создание промышленных парков для субъектов малого и среднего предпринимательства</t>
  </si>
  <si>
    <t>03WI555279</t>
  </si>
  <si>
    <t>05WP252910</t>
  </si>
  <si>
    <t>Гранты "Агростартап" на реализацию проектов создания и развития крестьянских (фермерских) хозяйст</t>
  </si>
  <si>
    <t>06WI554801</t>
  </si>
  <si>
    <t>06WI554802</t>
  </si>
  <si>
    <t>06WI554803</t>
  </si>
  <si>
    <t>06WI554804</t>
  </si>
  <si>
    <t>Разработка проектной документации на строительство муниципальных объектов недвижимого имущества в сфере общего образования</t>
  </si>
  <si>
    <t>09WE14П010</t>
  </si>
  <si>
    <t>Реализация мероприятий по формированию и обеспечению функционирования единой федеральной системы научно-методологического сопровождения педагогических работников и управленческих кадров</t>
  </si>
  <si>
    <t>09WE154810</t>
  </si>
  <si>
    <t>Капитальный ремонт объектов недвижимого имущества в сфере культуры</t>
  </si>
  <si>
    <t>10WA155191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</si>
  <si>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</si>
  <si>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</si>
  <si>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10WA155193</t>
  </si>
  <si>
    <t>Приобретение передвижных многофункциональных культурных центров (автоклубов) для обслуживания сельского населения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</si>
  <si>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</si>
  <si>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</si>
  <si>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>Ежемесячная денежная выплата нуждающейся в поддержке семье, назначаемая в случае рождения после 31 декабря 2012 года третьего ребенка или последующих детей до достижения ребенком возраста трех лет</t>
  </si>
  <si>
    <t>Осуществление авторского надзора</t>
  </si>
  <si>
    <t>Строительство (приобретение) объектов коммунальной инфраструктуры государственной собственности Томской области</t>
  </si>
  <si>
    <t xml:space="preserve">5.3  </t>
  </si>
  <si>
    <t>Региональный проект "Жилье", всего</t>
  </si>
  <si>
    <t>Региональный проект "Обеспечение устойчивого  сокращения непригодного для проживания жилищного фонда", всего</t>
  </si>
  <si>
    <t>Стимулирование программ развития жилищного строительства субъектов Российской Федерации</t>
  </si>
  <si>
    <t>13WF150210</t>
  </si>
  <si>
    <t>18WR253930</t>
  </si>
  <si>
    <t>5.4</t>
  </si>
  <si>
    <t>19WF552430</t>
  </si>
  <si>
    <t>19WF501140</t>
  </si>
  <si>
    <t>20WD255890</t>
  </si>
  <si>
    <t>Обеспечение на участках мировых судей формирования и функционирования необходимой информационно-технологической и телекоммуникационной инфраструктуры для организации защищенного межведомственного электронного взаимодействия, приема исковых заявлений, направляемых в электронном виде, и организации участия в заседаниях мировых судов в режиме видео-конференц-связи</t>
  </si>
  <si>
    <t>Оказание комплекса услуг, сервисов и мер поддержки субъектам малого и среднего предпринимательства в центре "Мой бизнес"</t>
  </si>
  <si>
    <t>Государственная поддержка стимулирования увеличения производства масличных культур</t>
  </si>
  <si>
    <t>Обеспечение закупки авиационных работ в целях оказания медицинской помощи</t>
  </si>
  <si>
    <t>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</si>
  <si>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Обеспечение образовательных организаций материально-технической базой для внедрения цифровой образовательной среды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</si>
  <si>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</si>
  <si>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Улучшение экологического состояния гидрографической сети</t>
  </si>
  <si>
    <t>15WG850900</t>
  </si>
  <si>
    <t>Формирование ИТ-инфраструктуры в государственных (муниципальных) образовательных организациях, реализующих программы общего образования, в соответствии с утвержденным стандартом для обеспечения в помещениях безопасного доступа к государственным, муниципальным и иным информационным системам, а также к сети "Интернет"</t>
  </si>
  <si>
    <t>20WD251170</t>
  </si>
  <si>
    <t>Региональный проект "Содействие занятости", всего</t>
  </si>
  <si>
    <t>Комитет по обеспечению деятельности мировых судей Томской области</t>
  </si>
  <si>
    <t>за счет средств местных бюджетов</t>
  </si>
  <si>
    <t>* по данным сводной бюджетной росписи областного бюджета на 2021-2023 годы по состоянию на отчетную дату; лимиты бюджетных обязательств соответствуют плановым назначениям</t>
  </si>
  <si>
    <t>Плановые ассигнования*, в том числе</t>
  </si>
  <si>
    <t>за счет средств местных бюджетов**</t>
  </si>
  <si>
    <t>% исполнения</t>
  </si>
  <si>
    <t>09WP252321</t>
  </si>
  <si>
    <t>Новое строительство и реконструкция (Хирургический корпус на 120 коек с поликлиникой на 200 п/смену ОГАУЗ "Томский областной онкологический диспансер")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</si>
  <si>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 (Строительство спальных корпусов № 1 на 100 койко-мест и № 3 на 70 койко-мест с помещениями административно-бытового обслуживания ОГБУ "Итатский дом-интернат для престарелых и инвалидов" по адресу: Томский район, с.Итатка, ул.Северная,3)</t>
  </si>
  <si>
    <t>09WE152300</t>
  </si>
  <si>
    <t>Создание новых мест в общеобразовательных организациях, расположенных в сельской местности и поселках городского типа</t>
  </si>
  <si>
    <t>09WE152301</t>
  </si>
  <si>
    <t>11WP35121П</t>
  </si>
  <si>
    <t>Разработка проектной документации на строительство объектов коммунальной инфраструктуры государственной собственности Томской области</t>
  </si>
  <si>
    <t>13WF30И030</t>
  </si>
  <si>
    <t>Капитальные вложения в объекты государственной собственности в сфере жилищного строительства</t>
  </si>
  <si>
    <t>09WP241060</t>
  </si>
  <si>
    <t>Оснащение зданий средствами обучения и воспитания для размещения дошкольных образовательных организаций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</si>
  <si>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01.05.2021</t>
  </si>
  <si>
    <t>19WF54П130</t>
  </si>
  <si>
    <t>Подготовка проектной документации на объекты водоснабжения (в том числе проведение инженерных изысканий)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</si>
</sst>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15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i/>
      <sz val="13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name val="Times New Roman"/>
      <family val="1"/>
      <charset val="204"/>
    </font>
    <font>
      <i/>
      <sz val="13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i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i/>
      <sz val="11"/>
      <color theme="1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2" fillId="2" borderId="4" xfId="0" applyFont="1" applyFill="1" applyBorder="1" applyAlignment="1">
      <alignment horizontal="center" vertical="top"/>
    </xf>
    <xf numFmtId="0" fontId="0" fillId="0" borderId="0" xfId="0" applyFill="1"/>
    <xf numFmtId="11" fontId="0" fillId="0" borderId="0" xfId="0" applyNumberFormat="1" applyFill="1"/>
    <xf numFmtId="0" fontId="2" fillId="0" borderId="6" xfId="0" applyFont="1" applyFill="1" applyBorder="1" applyAlignment="1">
      <alignment horizontal="center" vertical="top" wrapText="1"/>
    </xf>
    <xf numFmtId="49" fontId="4" fillId="0" borderId="4" xfId="0" applyNumberFormat="1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 wrapText="1"/>
    </xf>
    <xf numFmtId="0" fontId="9" fillId="0" borderId="0" xfId="0" applyFont="1" applyFill="1"/>
    <xf numFmtId="11" fontId="4" fillId="0" borderId="4" xfId="0" applyNumberFormat="1" applyFont="1" applyFill="1" applyBorder="1" applyAlignment="1">
      <alignment horizontal="center" vertical="top"/>
    </xf>
    <xf numFmtId="0" fontId="6" fillId="0" borderId="0" xfId="0" applyFont="1" applyFill="1"/>
    <xf numFmtId="0" fontId="0" fillId="0" borderId="0" xfId="0" applyFill="1" applyAlignment="1">
      <alignment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2" fillId="2" borderId="4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 wrapText="1"/>
    </xf>
    <xf numFmtId="4" fontId="2" fillId="2" borderId="4" xfId="0" applyNumberFormat="1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top"/>
    </xf>
    <xf numFmtId="0" fontId="4" fillId="3" borderId="4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top"/>
    </xf>
    <xf numFmtId="0" fontId="4" fillId="3" borderId="4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left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left" vertical="center" wrapText="1"/>
    </xf>
    <xf numFmtId="49" fontId="2" fillId="3" borderId="4" xfId="0" applyNumberFormat="1" applyFont="1" applyFill="1" applyBorder="1" applyAlignment="1">
      <alignment horizontal="center" vertical="center"/>
    </xf>
    <xf numFmtId="11" fontId="4" fillId="3" borderId="4" xfId="0" applyNumberFormat="1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center" vertical="top" wrapText="1"/>
    </xf>
    <xf numFmtId="49" fontId="2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center" vertical="center"/>
    </xf>
    <xf numFmtId="0" fontId="0" fillId="3" borderId="0" xfId="0" applyFill="1"/>
    <xf numFmtId="0" fontId="2" fillId="0" borderId="4" xfId="0" applyFont="1" applyFill="1" applyBorder="1" applyAlignment="1">
      <alignment horizontal="center" vertical="top" wrapText="1"/>
    </xf>
    <xf numFmtId="164" fontId="10" fillId="3" borderId="4" xfId="0" applyNumberFormat="1" applyFont="1" applyFill="1" applyBorder="1" applyAlignment="1">
      <alignment horizontal="right" vertical="top" wrapText="1"/>
    </xf>
    <xf numFmtId="164" fontId="1" fillId="2" borderId="4" xfId="0" applyNumberFormat="1" applyFont="1" applyFill="1" applyBorder="1" applyAlignment="1">
      <alignment horizontal="right" vertical="top"/>
    </xf>
    <xf numFmtId="0" fontId="2" fillId="3" borderId="4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/>
    </xf>
    <xf numFmtId="49" fontId="5" fillId="0" borderId="4" xfId="0" applyNumberFormat="1" applyFont="1" applyFill="1" applyBorder="1" applyAlignment="1">
      <alignment horizontal="center" vertical="center"/>
    </xf>
    <xf numFmtId="0" fontId="14" fillId="3" borderId="0" xfId="0" applyFont="1" applyFill="1" applyAlignment="1">
      <alignment horizontal="right"/>
    </xf>
    <xf numFmtId="0" fontId="5" fillId="0" borderId="4" xfId="0" applyNumberFormat="1" applyFont="1" applyFill="1" applyBorder="1" applyAlignment="1">
      <alignment horizontal="left" vertical="center" wrapText="1"/>
    </xf>
    <xf numFmtId="165" fontId="10" fillId="3" borderId="4" xfId="0" applyNumberFormat="1" applyFont="1" applyFill="1" applyBorder="1" applyAlignment="1">
      <alignment horizontal="right" vertical="top" wrapText="1"/>
    </xf>
    <xf numFmtId="165" fontId="1" fillId="2" borderId="4" xfId="0" applyNumberFormat="1" applyFont="1" applyFill="1" applyBorder="1" applyAlignment="1">
      <alignment horizontal="right" vertical="top"/>
    </xf>
    <xf numFmtId="0" fontId="4" fillId="3" borderId="4" xfId="0" applyFont="1" applyFill="1" applyBorder="1" applyAlignment="1">
      <alignment horizontal="center" vertical="center"/>
    </xf>
    <xf numFmtId="164" fontId="0" fillId="3" borderId="0" xfId="0" applyNumberFormat="1" applyFill="1"/>
    <xf numFmtId="0" fontId="0" fillId="2" borderId="0" xfId="0" applyFill="1"/>
    <xf numFmtId="0" fontId="0" fillId="0" borderId="0" xfId="0"/>
    <xf numFmtId="164" fontId="0" fillId="0" borderId="0" xfId="0" applyNumberFormat="1"/>
    <xf numFmtId="0" fontId="5" fillId="0" borderId="4" xfId="0" applyFont="1" applyFill="1" applyBorder="1" applyAlignment="1">
      <alignment horizontal="left" vertical="top" wrapText="1"/>
    </xf>
    <xf numFmtId="0" fontId="5" fillId="3" borderId="4" xfId="0" applyFont="1" applyFill="1" applyBorder="1" applyAlignment="1">
      <alignment horizontal="left" vertical="top" wrapText="1"/>
    </xf>
    <xf numFmtId="0" fontId="0" fillId="0" borderId="0" xfId="0"/>
    <xf numFmtId="0" fontId="4" fillId="3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11" fontId="4" fillId="3" borderId="4" xfId="0" applyNumberFormat="1" applyFont="1" applyFill="1" applyBorder="1" applyAlignment="1">
      <alignment horizontal="center" vertical="center"/>
    </xf>
    <xf numFmtId="164" fontId="1" fillId="0" borderId="4" xfId="0" applyNumberFormat="1" applyFont="1" applyFill="1" applyBorder="1" applyAlignment="1">
      <alignment horizontal="center" vertical="center"/>
    </xf>
    <xf numFmtId="164" fontId="1" fillId="3" borderId="4" xfId="0" applyNumberFormat="1" applyFont="1" applyFill="1" applyBorder="1" applyAlignment="1">
      <alignment horizontal="center" vertical="center"/>
    </xf>
    <xf numFmtId="165" fontId="1" fillId="0" borderId="4" xfId="0" applyNumberFormat="1" applyFont="1" applyFill="1" applyBorder="1" applyAlignment="1">
      <alignment horizontal="center" vertical="center"/>
    </xf>
    <xf numFmtId="164" fontId="11" fillId="3" borderId="4" xfId="0" applyNumberFormat="1" applyFont="1" applyFill="1" applyBorder="1" applyAlignment="1">
      <alignment horizontal="center" vertical="center"/>
    </xf>
    <xf numFmtId="165" fontId="11" fillId="0" borderId="4" xfId="0" applyNumberFormat="1" applyFont="1" applyFill="1" applyBorder="1" applyAlignment="1">
      <alignment horizontal="center" vertical="center"/>
    </xf>
    <xf numFmtId="165" fontId="1" fillId="3" borderId="4" xfId="0" applyNumberFormat="1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165" fontId="1" fillId="2" borderId="4" xfId="0" applyNumberFormat="1" applyFont="1" applyFill="1" applyBorder="1" applyAlignment="1">
      <alignment horizontal="center" vertical="center"/>
    </xf>
    <xf numFmtId="164" fontId="12" fillId="0" borderId="4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/>
    </xf>
    <xf numFmtId="165" fontId="13" fillId="0" borderId="4" xfId="0" applyNumberFormat="1" applyFont="1" applyFill="1" applyBorder="1" applyAlignment="1">
      <alignment horizontal="center" vertical="center"/>
    </xf>
    <xf numFmtId="165" fontId="11" fillId="3" borderId="4" xfId="0" applyNumberFormat="1" applyFont="1" applyFill="1" applyBorder="1" applyAlignment="1">
      <alignment horizontal="center" vertical="center"/>
    </xf>
    <xf numFmtId="164" fontId="12" fillId="3" borderId="4" xfId="0" applyNumberFormat="1" applyFont="1" applyFill="1" applyBorder="1" applyAlignment="1">
      <alignment horizontal="center" vertical="center"/>
    </xf>
    <xf numFmtId="165" fontId="13" fillId="3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5" xfId="0" applyFont="1" applyFill="1" applyBorder="1"/>
    <xf numFmtId="0" fontId="3" fillId="0" borderId="6" xfId="0" applyFont="1" applyFill="1" applyBorder="1"/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339966"/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usernames" Target="revisions/userNames.xml"/><Relationship Id="rId3" Type="http://schemas.openxmlformats.org/officeDocument/2006/relationships/theme" Target="theme/theme1.xml"/><Relationship Id="rId7" Type="http://schemas.openxmlformats.org/officeDocument/2006/relationships/revisionHeaders" Target="revisions/revisionHeader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4</xdr:col>
      <xdr:colOff>0</xdr:colOff>
      <xdr:row>18</xdr:row>
      <xdr:rowOff>47625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0" y="3000375"/>
          <a:ext cx="3952875" cy="371475"/>
          <a:chOff x="0" y="0"/>
          <a:chExt cx="1023" cy="255"/>
        </a:xfrm>
      </xdr:grpSpPr>
      <xdr:sp macro="" textlink="">
        <xdr:nvSpPr>
          <xdr:cNvPr id="3" name="Text Box 2"/>
          <xdr:cNvSpPr txBox="1">
            <a:spLocks noChangeArrowheads="1"/>
          </xdr:cNvSpPr>
        </xdr:nvSpPr>
        <xdr:spPr bwMode="auto">
          <a:xfrm>
            <a:off x="1" y="1"/>
            <a:ext cx="367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4" name="Text Box 3"/>
          <xdr:cNvSpPr txBox="1">
            <a:spLocks noChangeArrowheads="1"/>
          </xdr:cNvSpPr>
        </xdr:nvSpPr>
        <xdr:spPr bwMode="auto">
          <a:xfrm>
            <a:off x="428" y="1"/>
            <a:ext cx="174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</xdr:sp>
      <xdr:sp macro="" textlink="">
        <xdr:nvSpPr>
          <xdr:cNvPr id="5" name="Text Box 4"/>
          <xdr:cNvSpPr txBox="1">
            <a:spLocks noChangeArrowheads="1"/>
          </xdr:cNvSpPr>
        </xdr:nvSpPr>
        <xdr:spPr bwMode="auto">
          <a:xfrm>
            <a:off x="428" y="94"/>
            <a:ext cx="174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6" name="Line 5"/>
          <xdr:cNvSpPr>
            <a:spLocks noChangeShapeType="1"/>
          </xdr:cNvSpPr>
        </xdr:nvSpPr>
        <xdr:spPr bwMode="auto">
          <a:xfrm>
            <a:off x="428" y="94"/>
            <a:ext cx="174" cy="0"/>
          </a:xfrm>
          <a:prstGeom prst="line">
            <a:avLst/>
          </a:prstGeom>
          <a:noFill/>
          <a:ln w="9525">
            <a:solidFill>
              <a:srgbClr val="000000"/>
            </a:solidFill>
            <a:prstDash val="solid"/>
            <a:round/>
            <a:headEnd/>
            <a:tailEnd/>
          </a:ln>
        </xdr:spPr>
      </xdr:sp>
      <xdr:sp macro="" textlink="">
        <xdr:nvSpPr>
          <xdr:cNvPr id="7" name="Text Box 6"/>
          <xdr:cNvSpPr txBox="1">
            <a:spLocks noChangeArrowheads="1"/>
          </xdr:cNvSpPr>
        </xdr:nvSpPr>
        <xdr:spPr bwMode="auto">
          <a:xfrm>
            <a:off x="662" y="1"/>
            <a:ext cx="367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</xdr:sp>
      <xdr:sp macro="" textlink="">
        <xdr:nvSpPr>
          <xdr:cNvPr id="8" name="Text Box 7"/>
          <xdr:cNvSpPr txBox="1">
            <a:spLocks noChangeArrowheads="1"/>
          </xdr:cNvSpPr>
        </xdr:nvSpPr>
        <xdr:spPr bwMode="auto">
          <a:xfrm>
            <a:off x="662" y="94"/>
            <a:ext cx="367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9" name="Line 8"/>
          <xdr:cNvSpPr>
            <a:spLocks noChangeShapeType="1"/>
          </xdr:cNvSpPr>
        </xdr:nvSpPr>
        <xdr:spPr bwMode="auto">
          <a:xfrm>
            <a:off x="662" y="94"/>
            <a:ext cx="367" cy="0"/>
          </a:xfrm>
          <a:prstGeom prst="line">
            <a:avLst/>
          </a:prstGeom>
          <a:noFill/>
          <a:ln w="9525">
            <a:solidFill>
              <a:srgbClr val="000000"/>
            </a:solidFill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0</xdr:col>
      <xdr:colOff>0</xdr:colOff>
      <xdr:row>19</xdr:row>
      <xdr:rowOff>76200</xdr:rowOff>
    </xdr:from>
    <xdr:to>
      <xdr:col>4</xdr:col>
      <xdr:colOff>0</xdr:colOff>
      <xdr:row>21</xdr:row>
      <xdr:rowOff>95250</xdr:rowOff>
    </xdr:to>
    <xdr:grpSp>
      <xdr:nvGrpSpPr>
        <xdr:cNvPr id="10" name="Group 9"/>
        <xdr:cNvGrpSpPr>
          <a:grpSpLocks/>
        </xdr:cNvGrpSpPr>
      </xdr:nvGrpSpPr>
      <xdr:grpSpPr bwMode="auto">
        <a:xfrm>
          <a:off x="0" y="3562350"/>
          <a:ext cx="3952875" cy="342900"/>
          <a:chOff x="0" y="0"/>
          <a:chExt cx="1023" cy="255"/>
        </a:xfrm>
      </xdr:grpSpPr>
      <xdr:sp macro="" textlink="">
        <xdr:nvSpPr>
          <xdr:cNvPr id="11" name="Text Box 10"/>
          <xdr:cNvSpPr txBox="1">
            <a:spLocks noChangeArrowheads="1"/>
          </xdr:cNvSpPr>
        </xdr:nvSpPr>
        <xdr:spPr bwMode="auto">
          <a:xfrm>
            <a:off x="1" y="1"/>
            <a:ext cx="367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Исполнитель</a:t>
            </a:r>
          </a:p>
        </xdr:txBody>
      </xdr:sp>
      <xdr:sp macro="" textlink="">
        <xdr:nvSpPr>
          <xdr:cNvPr id="12" name="Text Box 11"/>
          <xdr:cNvSpPr txBox="1">
            <a:spLocks noChangeArrowheads="1"/>
          </xdr:cNvSpPr>
        </xdr:nvSpPr>
        <xdr:spPr bwMode="auto">
          <a:xfrm>
            <a:off x="428" y="1"/>
            <a:ext cx="174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</xdr:sp>
      <xdr:sp macro="" textlink="">
        <xdr:nvSpPr>
          <xdr:cNvPr id="13" name="Text Box 12"/>
          <xdr:cNvSpPr txBox="1">
            <a:spLocks noChangeArrowheads="1"/>
          </xdr:cNvSpPr>
        </xdr:nvSpPr>
        <xdr:spPr bwMode="auto">
          <a:xfrm>
            <a:off x="428" y="94"/>
            <a:ext cx="174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14" name="Line 13"/>
          <xdr:cNvSpPr>
            <a:spLocks noChangeShapeType="1"/>
          </xdr:cNvSpPr>
        </xdr:nvSpPr>
        <xdr:spPr bwMode="auto">
          <a:xfrm>
            <a:off x="428" y="94"/>
            <a:ext cx="174" cy="0"/>
          </a:xfrm>
          <a:prstGeom prst="line">
            <a:avLst/>
          </a:prstGeom>
          <a:noFill/>
          <a:ln w="9525">
            <a:solidFill>
              <a:srgbClr val="000000"/>
            </a:solidFill>
            <a:prstDash val="solid"/>
            <a:round/>
            <a:headEnd/>
            <a:tailEnd/>
          </a:ln>
        </xdr:spPr>
      </xdr:sp>
      <xdr:sp macro="" textlink="">
        <xdr:nvSpPr>
          <xdr:cNvPr id="15" name="Text Box 14"/>
          <xdr:cNvSpPr txBox="1">
            <a:spLocks noChangeArrowheads="1"/>
          </xdr:cNvSpPr>
        </xdr:nvSpPr>
        <xdr:spPr bwMode="auto">
          <a:xfrm>
            <a:off x="662" y="1"/>
            <a:ext cx="367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</xdr:sp>
      <xdr:sp macro="" textlink="">
        <xdr:nvSpPr>
          <xdr:cNvPr id="16" name="Text Box 15"/>
          <xdr:cNvSpPr txBox="1">
            <a:spLocks noChangeArrowheads="1"/>
          </xdr:cNvSpPr>
        </xdr:nvSpPr>
        <xdr:spPr bwMode="auto">
          <a:xfrm>
            <a:off x="662" y="94"/>
            <a:ext cx="367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17" name="Line 16"/>
          <xdr:cNvSpPr>
            <a:spLocks noChangeShapeType="1"/>
          </xdr:cNvSpPr>
        </xdr:nvSpPr>
        <xdr:spPr bwMode="auto">
          <a:xfrm>
            <a:off x="662" y="94"/>
            <a:ext cx="367" cy="0"/>
          </a:xfrm>
          <a:prstGeom prst="line">
            <a:avLst/>
          </a:prstGeom>
          <a:noFill/>
          <a:ln w="9525">
            <a:solidFill>
              <a:srgbClr val="000000"/>
            </a:solidFill>
            <a:prstDash val="solid"/>
            <a:round/>
            <a:headEnd/>
            <a:tailEnd/>
          </a:ln>
        </xdr:spPr>
      </xdr:sp>
    </xdr:grpSp>
    <xdr:clientData/>
  </xdr:twoCellAnchor>
</xdr:wsDr>
</file>

<file path=xl/revisions/_rels/revisionHeaders.xml.rels><?xml version="1.0" encoding="UTF-8" standalone="yes"?>
<Relationships xmlns="http://schemas.openxmlformats.org/package/2006/relationships"><Relationship Id="rId98" Type="http://schemas.openxmlformats.org/officeDocument/2006/relationships/revisionLog" Target="revisionLog12011.xml"/><Relationship Id="rId93" Type="http://schemas.openxmlformats.org/officeDocument/2006/relationships/revisionLog" Target="revisionLog1191.xml"/><Relationship Id="rId109" Type="http://schemas.openxmlformats.org/officeDocument/2006/relationships/revisionLog" Target="revisionLog11.xml"/><Relationship Id="rId117" Type="http://schemas.openxmlformats.org/officeDocument/2006/relationships/revisionLog" Target="revisionLog12.xml"/><Relationship Id="rId121" Type="http://schemas.openxmlformats.org/officeDocument/2006/relationships/revisionLog" Target="revisionLog1.xml"/><Relationship Id="rId112" Type="http://schemas.openxmlformats.org/officeDocument/2006/relationships/revisionLog" Target="revisionLog121.xml"/><Relationship Id="rId97" Type="http://schemas.openxmlformats.org/officeDocument/2006/relationships/revisionLog" Target="revisionLog112.xml"/><Relationship Id="rId104" Type="http://schemas.openxmlformats.org/officeDocument/2006/relationships/revisionLog" Target="revisionLog113.xml"/><Relationship Id="rId120" Type="http://schemas.openxmlformats.org/officeDocument/2006/relationships/revisionLog" Target="revisionLog13.xml"/><Relationship Id="rId103" Type="http://schemas.openxmlformats.org/officeDocument/2006/relationships/revisionLog" Target="revisionLog1212.xml"/><Relationship Id="rId116" Type="http://schemas.openxmlformats.org/officeDocument/2006/relationships/revisionLog" Target="revisionLog131.xml"/><Relationship Id="rId108" Type="http://schemas.openxmlformats.org/officeDocument/2006/relationships/revisionLog" Target="revisionLog111.xml"/><Relationship Id="rId96" Type="http://schemas.openxmlformats.org/officeDocument/2006/relationships/revisionLog" Target="revisionLog122.xml"/><Relationship Id="rId107" Type="http://schemas.openxmlformats.org/officeDocument/2006/relationships/revisionLog" Target="revisionLog1111.xml"/><Relationship Id="rId111" Type="http://schemas.openxmlformats.org/officeDocument/2006/relationships/revisionLog" Target="revisionLog1211.xml"/><Relationship Id="rId102" Type="http://schemas.openxmlformats.org/officeDocument/2006/relationships/revisionLog" Target="revisionLog115.xml"/><Relationship Id="rId110" Type="http://schemas.openxmlformats.org/officeDocument/2006/relationships/revisionLog" Target="revisionLog12111.xml"/><Relationship Id="rId115" Type="http://schemas.openxmlformats.org/officeDocument/2006/relationships/revisionLog" Target="revisionLog1311.xml"/><Relationship Id="rId106" Type="http://schemas.openxmlformats.org/officeDocument/2006/relationships/revisionLog" Target="revisionLog11111.xml"/><Relationship Id="rId95" Type="http://schemas.openxmlformats.org/officeDocument/2006/relationships/revisionLog" Target="revisionLog116.xml"/><Relationship Id="rId114" Type="http://schemas.openxmlformats.org/officeDocument/2006/relationships/revisionLog" Target="revisionLog13111.xml"/><Relationship Id="rId119" Type="http://schemas.openxmlformats.org/officeDocument/2006/relationships/revisionLog" Target="revisionLog14.xml"/><Relationship Id="rId99" Type="http://schemas.openxmlformats.org/officeDocument/2006/relationships/revisionLog" Target="revisionLog119.xml"/><Relationship Id="rId101" Type="http://schemas.openxmlformats.org/officeDocument/2006/relationships/revisionLog" Target="revisionLog120.xml"/><Relationship Id="rId94" Type="http://schemas.openxmlformats.org/officeDocument/2006/relationships/revisionLog" Target="revisionLog118.xml"/><Relationship Id="rId100" Type="http://schemas.openxmlformats.org/officeDocument/2006/relationships/revisionLog" Target="revisionLog1201.xml"/><Relationship Id="rId105" Type="http://schemas.openxmlformats.org/officeDocument/2006/relationships/revisionLog" Target="revisionLog121111.xml"/><Relationship Id="rId113" Type="http://schemas.openxmlformats.org/officeDocument/2006/relationships/revisionLog" Target="revisionLog131111.xml"/><Relationship Id="rId118" Type="http://schemas.openxmlformats.org/officeDocument/2006/relationships/revisionLog" Target="revisionLog141.xml"/></Relationships>
</file>

<file path=xl/revisions/revisionHeaders.xml><?xml version="1.0" encoding="utf-8"?>
<headers xmlns="http://schemas.openxmlformats.org/spreadsheetml/2006/main" xmlns:r="http://schemas.openxmlformats.org/officeDocument/2006/relationships" guid="{C664BD83-0D21-41F8-B061-153713787D85}" diskRevisions="1" revisionId="929" version="57">
  <header guid="{2530206E-4394-4A58-9101-428AA7DEDAF0}" dateTime="2021-04-22T16:21:53" maxSheetId="3" userName="nma" r:id="rId93" minRId="638">
    <sheetIdMap count="2">
      <sheetId val="1"/>
      <sheetId val="2"/>
    </sheetIdMap>
  </header>
  <header guid="{2A6ECA33-68BC-4141-BD79-9592AC50BDA7}" dateTime="2021-04-22T17:28:52" maxSheetId="3" userName="nma" r:id="rId94" minRId="643" maxRId="665">
    <sheetIdMap count="2">
      <sheetId val="1"/>
      <sheetId val="2"/>
    </sheetIdMap>
  </header>
  <header guid="{851B7401-53C2-47F6-AC76-9237306B518E}" dateTime="2021-04-22T17:29:48" maxSheetId="3" userName="nma" r:id="rId95" minRId="670" maxRId="671">
    <sheetIdMap count="2">
      <sheetId val="1"/>
      <sheetId val="2"/>
    </sheetIdMap>
  </header>
  <header guid="{ADD87496-C60F-435E-948D-8FD245BBE256}" dateTime="2021-04-22T17:39:36" maxSheetId="3" userName="nma" r:id="rId96">
    <sheetIdMap count="2">
      <sheetId val="1"/>
      <sheetId val="2"/>
    </sheetIdMap>
  </header>
  <header guid="{41FCDE14-5E04-4FBD-810D-11A2124E5E2A}" dateTime="2021-04-22T17:40:43" maxSheetId="3" userName="nma" r:id="rId97">
    <sheetIdMap count="2">
      <sheetId val="1"/>
      <sheetId val="2"/>
    </sheetIdMap>
  </header>
  <header guid="{2C44C339-3E9A-49AD-82F7-39502B5094F9}" dateTime="2021-04-27T15:24:39" maxSheetId="3" userName="nma" r:id="rId98" minRId="684" maxRId="689">
    <sheetIdMap count="2">
      <sheetId val="1"/>
      <sheetId val="2"/>
    </sheetIdMap>
  </header>
  <header guid="{1955A458-C146-494D-B2A8-3027C99BE62C}" dateTime="2021-04-27T15:26:13" maxSheetId="3" userName="nma" r:id="rId99" minRId="694" maxRId="696">
    <sheetIdMap count="2">
      <sheetId val="1"/>
      <sheetId val="2"/>
    </sheetIdMap>
  </header>
  <header guid="{8C4D2F37-8D3D-4758-BCEF-9D304004EB90}" dateTime="2021-04-27T15:53:52" maxSheetId="3" userName="nma" r:id="rId100" minRId="701" maxRId="754">
    <sheetIdMap count="2">
      <sheetId val="1"/>
      <sheetId val="2"/>
    </sheetIdMap>
  </header>
  <header guid="{28F74EB1-6244-42D3-94F1-239A26BEAC63}" dateTime="2021-04-27T17:02:17" maxSheetId="3" userName="nma" r:id="rId101" minRId="759" maxRId="764">
    <sheetIdMap count="2">
      <sheetId val="1"/>
      <sheetId val="2"/>
    </sheetIdMap>
  </header>
  <header guid="{EEBF7462-5398-4972-A3A2-2A1CA7E418FB}" dateTime="2021-04-27T17:04:16" maxSheetId="3" userName="nma" r:id="rId102">
    <sheetIdMap count="2">
      <sheetId val="1"/>
      <sheetId val="2"/>
    </sheetIdMap>
  </header>
  <header guid="{4ABDFF22-F2D7-4403-ADC7-05E4BE64E341}" dateTime="2021-04-27T17:04:36" maxSheetId="3" userName="nma" r:id="rId103">
    <sheetIdMap count="2">
      <sheetId val="1"/>
      <sheetId val="2"/>
    </sheetIdMap>
  </header>
  <header guid="{35541E4D-4FF0-47F2-81EE-C6ACCC91DA54}" dateTime="2021-04-27T17:48:30" maxSheetId="3" userName="nma" r:id="rId104" minRId="777">
    <sheetIdMap count="2">
      <sheetId val="1"/>
      <sheetId val="2"/>
    </sheetIdMap>
  </header>
  <header guid="{90C6CCD0-41D4-4DAC-9363-A4BFA714D204}" dateTime="2021-04-27T17:49:02" maxSheetId="3" userName="nma" r:id="rId105">
    <sheetIdMap count="2">
      <sheetId val="1"/>
      <sheetId val="2"/>
    </sheetIdMap>
  </header>
  <header guid="{74A01361-5F22-4026-8000-894E51E2809B}" dateTime="2021-04-27T17:54:28" maxSheetId="3" userName="nma" r:id="rId106">
    <sheetIdMap count="2">
      <sheetId val="1"/>
      <sheetId val="2"/>
    </sheetIdMap>
  </header>
  <header guid="{FE658D8C-DC6F-4794-9965-E155ABD9A429}" dateTime="2021-05-04T14:55:52" maxSheetId="3" userName="nma" r:id="rId107" minRId="790" maxRId="800">
    <sheetIdMap count="2">
      <sheetId val="1"/>
      <sheetId val="2"/>
    </sheetIdMap>
  </header>
  <header guid="{43E250A3-796B-4748-A9F5-FB8D80A52C73}" dateTime="2021-05-04T15:03:41" maxSheetId="3" userName="nma" r:id="rId108" minRId="805" maxRId="816">
    <sheetIdMap count="2">
      <sheetId val="1"/>
      <sheetId val="2"/>
    </sheetIdMap>
  </header>
  <header guid="{83C6BC48-7475-483A-8367-73FE6E1BA23C}" dateTime="2021-05-04T15:03:42" maxSheetId="3" userName="nma" r:id="rId109">
    <sheetIdMap count="2">
      <sheetId val="1"/>
      <sheetId val="2"/>
    </sheetIdMap>
  </header>
  <header guid="{5265E360-2982-4F03-9BEE-0919F8E1B452}" dateTime="2021-05-04T15:04:42" maxSheetId="3" userName="nma" r:id="rId110">
    <sheetIdMap count="2">
      <sheetId val="1"/>
      <sheetId val="2"/>
    </sheetIdMap>
  </header>
  <header guid="{AB784C5A-A88A-4D9E-A621-F218482F7368}" dateTime="2021-05-04T16:15:32" maxSheetId="3" userName="nma" r:id="rId111" minRId="829" maxRId="859">
    <sheetIdMap count="2">
      <sheetId val="1"/>
      <sheetId val="2"/>
    </sheetIdMap>
  </header>
  <header guid="{900B5D2C-30C8-4EA5-B072-8E0A64DE056B}" dateTime="2021-05-04T16:18:42" maxSheetId="3" userName="nma" r:id="rId112" minRId="864">
    <sheetIdMap count="2">
      <sheetId val="1"/>
      <sheetId val="2"/>
    </sheetIdMap>
  </header>
  <header guid="{FF3C3E13-53A7-42BA-BAC0-B784BA80025D}" dateTime="2021-05-04T16:30:41" maxSheetId="3" userName="nma" r:id="rId113">
    <sheetIdMap count="2">
      <sheetId val="1"/>
      <sheetId val="2"/>
    </sheetIdMap>
  </header>
  <header guid="{E0B8CB7A-50EB-42EA-A2CB-5C698C368628}" dateTime="2021-05-04T17:01:19" maxSheetId="3" userName="nma" r:id="rId114" minRId="873" maxRId="882">
    <sheetIdMap count="2">
      <sheetId val="1"/>
      <sheetId val="2"/>
    </sheetIdMap>
  </header>
  <header guid="{CC1664CA-CC9D-40DE-B291-63AE4A7BF466}" dateTime="2021-05-04T17:13:02" maxSheetId="3" userName="nma" r:id="rId115" minRId="887" maxRId="895">
    <sheetIdMap count="2">
      <sheetId val="1"/>
      <sheetId val="2"/>
    </sheetIdMap>
  </header>
  <header guid="{DC970B40-A772-42F0-9C5B-3366B5C42D76}" dateTime="2021-05-04T17:13:10" maxSheetId="3" userName="nma" r:id="rId116">
    <sheetIdMap count="2">
      <sheetId val="1"/>
      <sheetId val="2"/>
    </sheetIdMap>
  </header>
  <header guid="{566F1403-9F05-4A65-B1D2-621A6EFB43DB}" dateTime="2021-05-04T17:17:20" maxSheetId="3" userName="nma" r:id="rId117" minRId="904" maxRId="905">
    <sheetIdMap count="2">
      <sheetId val="1"/>
      <sheetId val="2"/>
    </sheetIdMap>
  </header>
  <header guid="{FE4577D0-5160-424C-8B96-B9B43EA8BE08}" dateTime="2021-05-13T09:11:42" maxSheetId="3" userName="nma" r:id="rId118">
    <sheetIdMap count="2">
      <sheetId val="1"/>
      <sheetId val="2"/>
    </sheetIdMap>
  </header>
  <header guid="{E7BAD183-6D3A-4843-B21E-185721FFCD52}" dateTime="2021-05-13T16:38:21" maxSheetId="3" userName="nma" r:id="rId119" minRId="914" maxRId="915">
    <sheetIdMap count="2">
      <sheetId val="1"/>
      <sheetId val="2"/>
    </sheetIdMap>
  </header>
  <header guid="{B4CD72DD-1820-46AA-B91C-01374A3A47EE}" dateTime="2021-05-13T16:39:12" maxSheetId="3" userName="nma" r:id="rId120">
    <sheetIdMap count="2">
      <sheetId val="1"/>
      <sheetId val="2"/>
    </sheetIdMap>
  </header>
  <header guid="{C664BD83-0D21-41F8-B061-153713787D85}" dateTime="2021-05-19T10:38:12" maxSheetId="3" userName="nma" r:id="rId121" minRId="924" maxRId="925">
    <sheetIdMap count="2">
      <sheetId val="1"/>
      <sheetId val="2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924" sId="1" numFmtId="4">
    <oc r="K162">
      <v>1509.1</v>
    </oc>
    <nc r="K162">
      <v>309.10000000000002</v>
    </nc>
  </rcc>
  <rcc rId="925" sId="1" numFmtId="4">
    <oc r="L162">
      <v>309.10000000000002</v>
    </oc>
    <nc r="L162">
      <v>1509.1</v>
    </nc>
  </rcc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Лист1!$E$12:$E$206</formula>
    <oldFormula>Лист1!$E$12:$E$206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revisionLog11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Лист1!$E$12:$E$206</formula>
    <oldFormula>Лист1!$E$12:$E$206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revisionLog12.xml><?xml version="1.0" encoding="utf-8"?>
<revisions xmlns="http://schemas.openxmlformats.org/spreadsheetml/2006/main" xmlns:r="http://schemas.openxmlformats.org/officeDocument/2006/relationships">
  <rcc rId="904" sId="1" numFmtId="4">
    <oc r="I30">
      <v>19690</v>
    </oc>
    <nc r="I30">
      <v>19685.599999999999</v>
    </nc>
  </rcc>
  <rcc rId="905" sId="1" numFmtId="4">
    <oc r="I29">
      <v>9641.7999999999993</v>
    </oc>
    <nc r="I29">
      <v>9631</v>
    </nc>
  </rcc>
  <rfmt sheetId="1" sqref="Z9" start="0" length="0">
    <dxf>
      <font>
        <b/>
        <sz val="8"/>
        <color auto="1"/>
        <name val="Arial Cyr"/>
        <scheme val="none"/>
      </font>
      <numFmt numFmtId="4" formatCode="#,##0.00"/>
      <alignment horizontal="right" vertical="top" readingOrder="0"/>
      <border outline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</rfmt>
  <rfmt sheetId="1" sqref="Z10" start="0" length="0">
    <dxf>
      <numFmt numFmtId="164" formatCode="#,##0.0"/>
    </dxf>
  </rfmt>
  <rfmt sheetId="1" sqref="Z11" start="0" length="0">
    <dxf>
      <numFmt numFmtId="4" formatCode="#,##0.00"/>
    </dxf>
  </rfmt>
  <rfmt sheetId="1" sqref="Z9" start="0" length="0">
    <dxf>
      <font>
        <b val="0"/>
        <sz val="11"/>
        <color theme="1"/>
        <name val="Calibri"/>
        <scheme val="minor"/>
      </font>
      <numFmt numFmtId="0" formatCode="General"/>
      <alignment horizontal="general" vertical="bottom" readingOrder="0"/>
      <border outline="0">
        <left/>
        <right/>
        <top/>
        <bottom/>
      </border>
    </dxf>
  </rfmt>
  <rfmt sheetId="1" sqref="Z10" start="0" length="0">
    <dxf>
      <numFmt numFmtId="0" formatCode="General"/>
    </dxf>
  </rfmt>
  <rfmt sheetId="1" sqref="Z11" start="0" length="0">
    <dxf>
      <numFmt numFmtId="0" formatCode="General"/>
    </dxf>
  </rfmt>
  <rfmt sheetId="1" sqref="Z12" start="0" length="0">
    <dxf>
      <numFmt numFmtId="0" formatCode="General"/>
    </dxf>
  </rfmt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Лист1!$E$12:$E$206</formula>
    <oldFormula>Лист1!$E$12:$E$206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revisionLog13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Лист1!$E$12:$E$206</formula>
    <oldFormula>Лист1!$E$12:$E$206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revisionLog14.xml><?xml version="1.0" encoding="utf-8"?>
<revisions xmlns="http://schemas.openxmlformats.org/spreadsheetml/2006/main" xmlns:r="http://schemas.openxmlformats.org/officeDocument/2006/relationships">
  <rcc rId="914" sId="1" numFmtId="4">
    <oc r="K162">
      <v>309.10000000000002</v>
    </oc>
    <nc r="K162">
      <v>1509.1</v>
    </nc>
  </rcc>
  <rcc rId="915" sId="1" numFmtId="4">
    <oc r="L162">
      <v>1509.1</v>
    </oc>
    <nc r="L162">
      <v>309.10000000000002</v>
    </nc>
  </rcc>
  <rfmt sheetId="1" sqref="K162:L162">
    <dxf>
      <fill>
        <patternFill>
          <bgColor theme="0"/>
        </patternFill>
      </fill>
    </dxf>
  </rfmt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Лист1!$E$12:$E$206</formula>
    <oldFormula>Лист1!$E$12:$E$206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revisionLog111.xml><?xml version="1.0" encoding="utf-8"?>
<revisions xmlns="http://schemas.openxmlformats.org/spreadsheetml/2006/main" xmlns:r="http://schemas.openxmlformats.org/officeDocument/2006/relationships">
  <rfmt sheetId="1" sqref="L1:L1048576">
    <dxf>
      <fill>
        <patternFill>
          <bgColor theme="6" tint="0.59999389629810485"/>
        </patternFill>
      </fill>
    </dxf>
  </rfmt>
  <rcc rId="805" sId="1" numFmtId="4">
    <oc r="L56">
      <v>41423</v>
    </oc>
    <nc r="L56">
      <v>52167.3</v>
    </nc>
  </rcc>
  <rcc rId="806" sId="1" numFmtId="4">
    <oc r="L32">
      <f>10565.1+26209.4</f>
    </oc>
    <nc r="L32">
      <v>48523.9</v>
    </nc>
  </rcc>
  <rcc rId="807" sId="1" numFmtId="4">
    <nc r="L162">
      <v>1509.1</v>
    </nc>
  </rcc>
  <rcc rId="808" sId="1" numFmtId="4">
    <oc r="L39">
      <f>55797.9+19336.1</f>
    </oc>
    <nc r="L39">
      <v>76739.5</v>
    </nc>
  </rcc>
  <rcc rId="809" sId="1" numFmtId="4">
    <oc r="L120">
      <v>50853.2</v>
    </oc>
    <nc r="L120">
      <v>56410.1</v>
    </nc>
  </rcc>
  <rcc rId="810" sId="1" numFmtId="4">
    <nc r="L134">
      <v>2034.6</v>
    </nc>
  </rcc>
  <rcc rId="811" sId="1" numFmtId="4">
    <oc r="L135">
      <v>33</v>
    </oc>
    <nc r="L135">
      <v>269.7</v>
    </nc>
  </rcc>
  <rcc rId="812" sId="1" numFmtId="4">
    <oc r="L130">
      <f>837.5+703.5</f>
    </oc>
    <nc r="L130">
      <v>44817.9</v>
    </nc>
  </rcc>
  <rcc rId="813" sId="1" numFmtId="4">
    <oc r="L144">
      <f>11003.2+0.03</f>
    </oc>
    <nc r="L144">
      <v>22006.3</v>
    </nc>
  </rcc>
  <rcc rId="814" sId="1" numFmtId="4">
    <oc r="L44">
      <f>51363.6+25681.8</f>
    </oc>
    <nc r="L44">
      <v>77045.5</v>
    </nc>
  </rcc>
  <rcc rId="815" sId="1" numFmtId="4">
    <oc r="L167">
      <f>400+1939.3</f>
    </oc>
    <nc r="L167">
      <v>4786.3</v>
    </nc>
  </rcc>
  <rcc rId="816" sId="1" numFmtId="4">
    <oc r="L136">
      <v>565.4</v>
    </oc>
    <nc r="L136">
      <v>997.5</v>
    </nc>
  </rcc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Лист1!$E$12:$E$206</formula>
    <oldFormula>Лист1!$E$12:$E$206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revisionLog112.xml><?xml version="1.0" encoding="utf-8"?>
<revisions xmlns="http://schemas.openxmlformats.org/spreadsheetml/2006/main" xmlns:r="http://schemas.openxmlformats.org/officeDocument/2006/relationships">
  <rfmt sheetId="1" sqref="F10:V204">
    <dxf>
      <alignment vertical="center" readingOrder="0"/>
    </dxf>
  </rfmt>
  <rfmt sheetId="1" sqref="F10:V204">
    <dxf>
      <alignment horizontal="center" readingOrder="0"/>
    </dxf>
  </rfmt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Лист1!$A$4:$V$206</formula>
    <oldFormula>Лист1!$A$4:$V$206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revisionLog113.xml><?xml version="1.0" encoding="utf-8"?>
<revisions xmlns="http://schemas.openxmlformats.org/spreadsheetml/2006/main" xmlns:r="http://schemas.openxmlformats.org/officeDocument/2006/relationships">
  <rfmt sheetId="1" sqref="Z9" start="0" length="0">
    <dxf>
      <numFmt numFmtId="164" formatCode="#,##0.0"/>
    </dxf>
  </rfmt>
  <rfmt sheetId="1" xfDxf="1" sqref="Z10" start="0" length="0"/>
  <rcc rId="777" sId="1">
    <oc r="H120">
      <f>503521.8+693526.5</f>
    </oc>
    <nc r="H120">
      <f>503521.8+693526.4</f>
    </nc>
  </rcc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Лист1!$E$12:$E$206</formula>
    <oldFormula>Лист1!$A$4:$V$206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revisionLog115.xml><?xml version="1.0" encoding="utf-8"?>
<revisions xmlns="http://schemas.openxmlformats.org/spreadsheetml/2006/main" xmlns:r="http://schemas.openxmlformats.org/officeDocument/2006/relationships">
  <rfmt sheetId="1" xfDxf="1" sqref="Z9" start="0" length="0">
    <dxf>
      <font>
        <b/>
        <sz val="8"/>
        <color auto="1"/>
        <name val="Arial Cyr"/>
        <scheme val="none"/>
      </font>
      <numFmt numFmtId="4" formatCode="#,##0.00"/>
      <alignment horizontal="right" readingOrder="0"/>
      <border outline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Z9" start="0" length="0">
    <dxf>
      <font>
        <b/>
        <sz val="8"/>
        <color auto="1"/>
        <name val="Arial Cyr"/>
        <scheme val="none"/>
      </font>
      <numFmt numFmtId="4" formatCode="#,##0.00"/>
      <alignment horizontal="right" readingOrder="0"/>
      <border outline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Z9" start="0" length="0">
    <dxf>
      <font>
        <b/>
        <sz val="8"/>
        <color auto="1"/>
        <name val="Arial Cyr"/>
        <scheme val="none"/>
      </font>
      <numFmt numFmtId="4" formatCode="#,##0.00"/>
      <alignment horizontal="right" readingOrder="0"/>
      <border outline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</rfmt>
  <rfmt sheetId="1" sqref="Z9" start="0" length="0">
    <dxf>
      <font>
        <b val="0"/>
        <sz val="11"/>
        <color theme="1"/>
        <name val="Calibri"/>
        <scheme val="minor"/>
      </font>
      <numFmt numFmtId="0" formatCode="General"/>
      <alignment horizontal="general" vertical="bottom" readingOrder="0"/>
      <border outline="0">
        <left/>
        <right/>
        <top/>
        <bottom/>
      </border>
    </dxf>
  </rfmt>
  <rfmt sheetId="1" sqref="Z10" start="0" length="0">
    <dxf>
      <numFmt numFmtId="0" formatCode="General"/>
    </dxf>
  </rfmt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Лист1!$A$4:$V$206</formula>
    <oldFormula>Лист1!$A$4:$V$206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revisionLog116.xml><?xml version="1.0" encoding="utf-8"?>
<revisions xmlns="http://schemas.openxmlformats.org/spreadsheetml/2006/main" xmlns:r="http://schemas.openxmlformats.org/officeDocument/2006/relationships">
  <rcc rId="670" sId="1">
    <oc r="C129">
      <v>829</v>
    </oc>
    <nc r="C129">
      <v>828</v>
    </nc>
  </rcc>
  <rcc rId="671" sId="1" xfDxf="1" dxf="1">
    <oc r="B129" t="inlineStr">
      <is>
    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    </is>
    </oc>
    <nc r="B129" t="inlineStr">
      <is>
        <t>Подготовка проектной документации на объекты водоснабжения (в том числе проведение инженерных изысканий)</t>
      </is>
    </nc>
    <ndxf>
      <font>
        <i/>
        <sz val="13"/>
        <name val="Times New Roman"/>
        <scheme val="none"/>
      </font>
      <alignment horizontal="lef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Лист1!$A$4:$V$206</formula>
    <oldFormula>Лист1!$A$4:$V$206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revisionLog118.xml><?xml version="1.0" encoding="utf-8"?>
<revisions xmlns="http://schemas.openxmlformats.org/spreadsheetml/2006/main" xmlns:r="http://schemas.openxmlformats.org/officeDocument/2006/relationships">
  <rrc rId="643" sId="1" ref="A129:XFD129" action="insertRow"/>
  <rcc rId="644" sId="1">
    <nc r="B129" t="inlineStr">
      <is>
    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    </is>
    </nc>
  </rcc>
  <rcc rId="645" sId="1">
    <nc r="C129">
      <v>829</v>
    </nc>
  </rcc>
  <rcc rId="646" sId="1">
    <nc r="D129" t="inlineStr">
      <is>
        <t>Департамент ЖКХ и государственного жилищного надзора Томской области</t>
      </is>
    </nc>
  </rcc>
  <rcc rId="647" sId="1">
    <nc r="F129">
      <f>G129+H129+I129</f>
    </nc>
  </rcc>
  <rcc rId="648" sId="1">
    <nc r="J129">
      <f>K129+L129+M129</f>
    </nc>
  </rcc>
  <rcc rId="649" sId="1">
    <nc r="N129">
      <f>O129+P129+Q129</f>
    </nc>
  </rcc>
  <rcc rId="650" sId="1">
    <nc r="R129">
      <f>S129+T129+U129</f>
    </nc>
  </rcc>
  <rcc rId="651" sId="1">
    <nc r="V129">
      <f>J129/F129</f>
    </nc>
  </rcc>
  <rcc rId="652" sId="1">
    <nc r="E129" t="inlineStr">
      <is>
        <t>19WF54П130</t>
      </is>
    </nc>
  </rcc>
  <rcc rId="653" sId="1">
    <oc r="F126">
      <f>G126+H126+I126</f>
    </oc>
    <nc r="F126">
      <f>G126+H126+I126</f>
    </nc>
  </rcc>
  <rcc rId="654" sId="1">
    <oc r="G126">
      <f>G128+G130</f>
    </oc>
    <nc r="G126">
      <f>G128+G130+G129</f>
    </nc>
  </rcc>
  <rcc rId="655" sId="1">
    <oc r="H126">
      <f>H128+H130</f>
    </oc>
    <nc r="H126">
      <f>H128+H130+H129</f>
    </nc>
  </rcc>
  <rcc rId="656" sId="1">
    <oc r="I126">
      <f>I128+I130</f>
    </oc>
    <nc r="I126">
      <f>I128+I130+I129</f>
    </nc>
  </rcc>
  <rcc rId="657" sId="1">
    <oc r="K126">
      <f>K128+K130</f>
    </oc>
    <nc r="K126">
      <f>K128+K130+K129</f>
    </nc>
  </rcc>
  <rcc rId="658" sId="1">
    <oc r="L126">
      <f>L128+L130</f>
    </oc>
    <nc r="L126">
      <f>L128+L130+L129</f>
    </nc>
  </rcc>
  <rcc rId="659" sId="1">
    <oc r="M126">
      <f>M128+M130</f>
    </oc>
    <nc r="M126">
      <f>M128+M130+M129</f>
    </nc>
  </rcc>
  <rcc rId="660" sId="1">
    <oc r="O126">
      <f>O128+O130</f>
    </oc>
    <nc r="O126">
      <f>O128+O130+O129</f>
    </nc>
  </rcc>
  <rcc rId="661" sId="1">
    <oc r="P126">
      <f>P128+P130</f>
    </oc>
    <nc r="P126">
      <f>P128+P130+P129</f>
    </nc>
  </rcc>
  <rcc rId="662" sId="1">
    <oc r="Q126">
      <f>Q128+Q130</f>
    </oc>
    <nc r="Q126">
      <f>Q128+Q130+Q129</f>
    </nc>
  </rcc>
  <rcc rId="663" sId="1">
    <oc r="S126">
      <f>S128+S130</f>
    </oc>
    <nc r="S126">
      <f>S128+S130+S129</f>
    </nc>
  </rcc>
  <rcc rId="664" sId="1">
    <oc r="T126">
      <f>T128+T130</f>
    </oc>
    <nc r="T126">
      <f>T128+T130+T129</f>
    </nc>
  </rcc>
  <rcc rId="665" sId="1">
    <oc r="U126">
      <f>U128+U130</f>
    </oc>
    <nc r="U126">
      <f>U128+U130+U129</f>
    </nc>
  </rcc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Лист1!$A$4:$V$206</formula>
    <oldFormula>Лист1!$A$4:$V$206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revisionLog119.xml><?xml version="1.0" encoding="utf-8"?>
<revisions xmlns="http://schemas.openxmlformats.org/spreadsheetml/2006/main" xmlns:r="http://schemas.openxmlformats.org/officeDocument/2006/relationships">
  <rcc rId="694" sId="1">
    <oc r="H185">
      <f>9907.9-0.5</f>
    </oc>
    <nc r="H185">
      <f>9907.9-9907.9</f>
    </nc>
  </rcc>
  <rcc rId="695" sId="1" numFmtId="4">
    <oc r="P185">
      <v>6672.3</v>
    </oc>
    <nc r="P185">
      <f>6672.3-6672.3</f>
    </nc>
  </rcc>
  <rcc rId="696" sId="1" numFmtId="4">
    <oc r="T185">
      <v>13382.3</v>
    </oc>
    <nc r="T185">
      <f>13382.3-13382.3</f>
    </nc>
  </rcc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Лист1!$A$4:$V$206</formula>
    <oldFormula>Лист1!$A$4:$V$206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revisionLog120.xml><?xml version="1.0" encoding="utf-8"?>
<revisions xmlns="http://schemas.openxmlformats.org/spreadsheetml/2006/main" xmlns:r="http://schemas.openxmlformats.org/officeDocument/2006/relationships">
  <rfmt sheetId="1" sqref="G1:G1048576">
    <dxf>
      <fill>
        <patternFill>
          <bgColor theme="0"/>
        </patternFill>
      </fill>
    </dxf>
  </rfmt>
  <rfmt sheetId="1" sqref="K1:K1048576">
    <dxf>
      <fill>
        <patternFill>
          <bgColor theme="0"/>
        </patternFill>
      </fill>
    </dxf>
  </rfmt>
  <rfmt sheetId="1" sqref="O1:O1048576">
    <dxf>
      <fill>
        <patternFill>
          <bgColor theme="0"/>
        </patternFill>
      </fill>
    </dxf>
  </rfmt>
  <rfmt sheetId="1" sqref="S1:S1048576">
    <dxf>
      <fill>
        <patternFill>
          <bgColor theme="0"/>
        </patternFill>
      </fill>
    </dxf>
  </rfmt>
  <rfmt sheetId="1" sqref="Z9" start="0" length="0">
    <dxf>
      <numFmt numFmtId="164" formatCode="#,##0.0"/>
    </dxf>
  </rfmt>
  <rfmt sheetId="1" xfDxf="1" sqref="Z10" start="0" length="0">
    <dxf>
      <numFmt numFmtId="164" formatCode="#,##0.0"/>
    </dxf>
  </rfmt>
  <rfmt sheetId="1" xfDxf="1" sqref="Z9" start="0" length="0">
    <dxf>
      <numFmt numFmtId="164" formatCode="#,##0.0"/>
    </dxf>
  </rfmt>
  <rfmt sheetId="1" xfDxf="1" sqref="Z13" start="0" length="0">
    <dxf>
      <numFmt numFmtId="164" formatCode="#,##0.0"/>
    </dxf>
  </rfmt>
  <rfmt sheetId="1" sqref="Z14" start="0" length="0">
    <dxf>
      <numFmt numFmtId="164" formatCode="#,##0.0"/>
    </dxf>
  </rfmt>
  <rfmt sheetId="1" sqref="Z15" start="0" length="0">
    <dxf>
      <numFmt numFmtId="164" formatCode="#,##0.0"/>
    </dxf>
  </rfmt>
  <rfmt sheetId="1" sqref="S8:T8">
    <dxf>
      <fill>
        <patternFill>
          <bgColor rgb="FFFFFF00"/>
        </patternFill>
      </fill>
    </dxf>
  </rfmt>
  <rfmt sheetId="1" sqref="G1:G1048576">
    <dxf>
      <fill>
        <patternFill>
          <bgColor rgb="FFFFFF00"/>
        </patternFill>
      </fill>
    </dxf>
  </rfmt>
  <rfmt sheetId="1" sqref="O1:O1048576">
    <dxf>
      <fill>
        <patternFill>
          <bgColor rgb="FFFFFF00"/>
        </patternFill>
      </fill>
    </dxf>
  </rfmt>
  <rcc rId="759" sId="1">
    <oc r="G184">
      <f>92.8-92.78</f>
    </oc>
    <nc r="G184">
      <f>92.8-92.8</f>
    </nc>
  </rcc>
  <rcc rId="760" sId="1">
    <oc r="G185">
      <f>306.5-0.07-306.43</f>
    </oc>
    <nc r="G185">
      <f>306.5-306.5</f>
    </nc>
  </rcc>
  <rcc rId="761" sId="1">
    <oc r="G19">
      <f>748.1+3578</f>
    </oc>
    <nc r="G19">
      <f>748.1+3578.6</f>
    </nc>
  </rcc>
  <rcc rId="762" sId="1">
    <oc r="G122">
      <f>205158.3+31089.3</f>
    </oc>
    <nc r="G122">
      <f>205158.3+31089.2</f>
    </nc>
  </rcc>
  <rfmt sheetId="1" xfDxf="1" sqref="Z9" start="0" length="0">
    <dxf>
      <numFmt numFmtId="164" formatCode="#,##0.0"/>
    </dxf>
  </rfmt>
  <rfmt sheetId="1" sqref="Z9" start="0" length="0">
    <dxf>
      <font>
        <b/>
        <sz val="8"/>
        <color auto="1"/>
        <name val="Arial Cyr"/>
        <scheme val="none"/>
      </font>
      <numFmt numFmtId="4" formatCode="#,##0.00"/>
      <alignment horizontal="right" vertical="top" readingOrder="0"/>
      <border outline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</rfmt>
  <rcc rId="763" sId="1">
    <oc r="O184">
      <f>92.8-0.02-92.78</f>
    </oc>
    <nc r="O184">
      <f>92.8-92.8</f>
    </nc>
  </rcc>
  <rcc rId="764" sId="1">
    <oc r="O185">
      <f>206.4-0.04-206.36</f>
    </oc>
    <nc r="O185">
      <f>206.4-206.4</f>
    </nc>
  </rcc>
  <rfmt sheetId="1" xfDxf="1" sqref="Z9" start="0" length="0">
    <dxf>
      <font>
        <b/>
        <sz val="8"/>
        <color auto="1"/>
        <name val="Arial Cyr"/>
        <scheme val="none"/>
      </font>
      <numFmt numFmtId="4" formatCode="#,##0.00"/>
      <alignment horizontal="right" readingOrder="0"/>
      <border outline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</rfmt>
  <rfmt sheetId="1" sqref="S8:T8">
    <dxf>
      <fill>
        <patternFill>
          <bgColor theme="0"/>
        </patternFill>
      </fill>
    </dxf>
  </rfmt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Лист1!$A$4:$V$206</formula>
    <oldFormula>Лист1!$A$4:$V$206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revisionLog121.xml><?xml version="1.0" encoding="utf-8"?>
<revisions xmlns="http://schemas.openxmlformats.org/spreadsheetml/2006/main" xmlns:r="http://schemas.openxmlformats.org/officeDocument/2006/relationships">
  <rcc rId="864" sId="1" numFmtId="4">
    <oc r="Z9">
      <v>65945.5</v>
    </oc>
    <nc r="Z9"/>
  </rcc>
  <rfmt sheetId="1" sqref="I1:I1048576">
    <dxf>
      <fill>
        <patternFill>
          <bgColor theme="0"/>
        </patternFill>
      </fill>
    </dxf>
  </rfmt>
  <rfmt sheetId="1" sqref="M1:M1048576">
    <dxf>
      <fill>
        <patternFill>
          <bgColor theme="0"/>
        </patternFill>
      </fill>
    </dxf>
  </rfmt>
  <rfmt sheetId="1" sqref="H9:N9">
    <dxf>
      <fill>
        <patternFill>
          <bgColor theme="6" tint="0.59999389629810485"/>
        </patternFill>
      </fill>
    </dxf>
  </rfmt>
  <rfmt sheetId="1" sqref="H40:N40">
    <dxf>
      <fill>
        <patternFill>
          <bgColor theme="6" tint="0.59999389629810485"/>
        </patternFill>
      </fill>
    </dxf>
  </rfmt>
  <rfmt sheetId="1" sqref="H58:N58">
    <dxf>
      <fill>
        <patternFill>
          <bgColor theme="6" tint="0.59999389629810485"/>
        </patternFill>
      </fill>
    </dxf>
  </rfmt>
  <rfmt sheetId="1" sqref="H93:N93">
    <dxf>
      <fill>
        <patternFill>
          <bgColor theme="6" tint="0.59999389629810485"/>
        </patternFill>
      </fill>
    </dxf>
  </rfmt>
  <rfmt sheetId="1" sqref="H114:O114">
    <dxf>
      <fill>
        <patternFill>
          <bgColor theme="6" tint="0.59999389629810485"/>
        </patternFill>
      </fill>
    </dxf>
  </rfmt>
  <rfmt sheetId="1" sqref="H131:O131">
    <dxf>
      <fill>
        <patternFill>
          <bgColor theme="6" tint="0.59999389629810485"/>
        </patternFill>
      </fill>
    </dxf>
  </rfmt>
  <rfmt sheetId="1" sqref="H145:N145">
    <dxf>
      <fill>
        <patternFill>
          <bgColor theme="6" tint="0.59999389629810485"/>
        </patternFill>
      </fill>
    </dxf>
  </rfmt>
  <rfmt sheetId="1" sqref="H159:N159">
    <dxf>
      <fill>
        <patternFill>
          <bgColor theme="6" tint="0.59999389629810485"/>
        </patternFill>
      </fill>
    </dxf>
  </rfmt>
  <rfmt sheetId="1" sqref="G176:O176">
    <dxf>
      <fill>
        <patternFill>
          <bgColor theme="6" tint="0.59999389629810485"/>
        </patternFill>
      </fill>
    </dxf>
  </rfmt>
  <rfmt sheetId="1" sqref="H195:N195">
    <dxf>
      <fill>
        <patternFill>
          <bgColor theme="6" tint="0.59999389629810485"/>
        </patternFill>
      </fill>
    </dxf>
  </rfmt>
  <rfmt sheetId="1" sqref="H200:N200">
    <dxf>
      <fill>
        <patternFill>
          <bgColor theme="6" tint="0.59999389629810485"/>
        </patternFill>
      </fill>
    </dxf>
  </rfmt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Лист1!$E$12:$E$206</formula>
    <oldFormula>Лист1!$E$12:$E$206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revisionLog122.xml><?xml version="1.0" encoding="utf-8"?>
<revisions xmlns="http://schemas.openxmlformats.org/spreadsheetml/2006/main" xmlns:r="http://schemas.openxmlformats.org/officeDocument/2006/relationships">
  <rfmt sheetId="1" sqref="B92">
    <dxf>
      <alignment vertical="top" readingOrder="0"/>
    </dxf>
  </rfmt>
  <rfmt sheetId="1" sqref="B91">
    <dxf>
      <alignment vertical="top" readingOrder="0"/>
    </dxf>
  </rfmt>
  <rfmt sheetId="1" sqref="B88">
    <dxf>
      <alignment vertical="top" readingOrder="0"/>
    </dxf>
  </rfmt>
  <rfmt sheetId="1" sqref="B88">
    <dxf>
      <alignment vertical="center" readingOrder="0"/>
    </dxf>
  </rfmt>
  <rfmt sheetId="1" sqref="D88">
    <dxf>
      <alignment vertical="center" readingOrder="0"/>
    </dxf>
  </rfmt>
  <rfmt sheetId="1" sqref="D13">
    <dxf>
      <alignment vertical="center" readingOrder="0"/>
    </dxf>
  </rfmt>
  <rfmt sheetId="1" sqref="D15">
    <dxf>
      <alignment vertical="center" readingOrder="0"/>
    </dxf>
  </rfmt>
  <rfmt sheetId="1" sqref="D16">
    <dxf>
      <alignment vertical="center" readingOrder="0"/>
    </dxf>
  </rfmt>
  <rfmt sheetId="1" sqref="D14">
    <dxf>
      <alignment vertical="center" readingOrder="0"/>
    </dxf>
  </rfmt>
  <rfmt sheetId="1" sqref="D12">
    <dxf>
      <alignment vertical="center" readingOrder="0"/>
    </dxf>
  </rfmt>
  <rfmt sheetId="1" sqref="D21">
    <dxf>
      <alignment vertical="center" readingOrder="0"/>
    </dxf>
  </rfmt>
  <rfmt sheetId="1" sqref="D22">
    <dxf>
      <alignment vertical="center" readingOrder="0"/>
    </dxf>
  </rfmt>
  <rfmt sheetId="1" sqref="D24">
    <dxf>
      <alignment vertical="center" readingOrder="0"/>
    </dxf>
  </rfmt>
  <rfmt sheetId="1" sqref="D25">
    <dxf>
      <alignment vertical="center" readingOrder="0"/>
    </dxf>
  </rfmt>
  <rfmt sheetId="1" sqref="D26">
    <dxf>
      <alignment vertical="center" readingOrder="0"/>
    </dxf>
  </rfmt>
  <rfmt sheetId="1" sqref="D29:D33">
    <dxf>
      <alignment vertical="center" readingOrder="0"/>
    </dxf>
  </rfmt>
  <rfmt sheetId="1" sqref="C31">
    <dxf>
      <alignment vertical="center" readingOrder="0"/>
    </dxf>
  </rfmt>
  <rfmt sheetId="1" sqref="C29:C30">
    <dxf>
      <alignment vertical="center" readingOrder="0"/>
    </dxf>
  </rfmt>
  <rfmt sheetId="1" sqref="C12:C16">
    <dxf>
      <alignment vertical="center" readingOrder="0"/>
    </dxf>
  </rfmt>
  <rfmt sheetId="1" sqref="C19:C25">
    <dxf>
      <alignment vertical="center" readingOrder="0"/>
    </dxf>
  </rfmt>
  <rfmt sheetId="1" sqref="C26">
    <dxf>
      <alignment vertical="center" readingOrder="0"/>
    </dxf>
  </rfmt>
  <rfmt sheetId="1" sqref="C29:C33">
    <dxf>
      <alignment vertical="bottom" readingOrder="0"/>
    </dxf>
  </rfmt>
  <rfmt sheetId="1" sqref="C29:C33">
    <dxf>
      <alignment vertical="center" readingOrder="0"/>
    </dxf>
  </rfmt>
  <rfmt sheetId="1" sqref="C34">
    <dxf>
      <alignment vertical="center" readingOrder="0"/>
    </dxf>
  </rfmt>
  <rfmt sheetId="1" sqref="D38:D39">
    <dxf>
      <alignment vertical="center" readingOrder="0"/>
    </dxf>
  </rfmt>
  <rfmt sheetId="1" sqref="C37:C39">
    <dxf>
      <alignment vertical="center" readingOrder="0"/>
    </dxf>
  </rfmt>
  <rfmt sheetId="1" sqref="D37">
    <dxf>
      <alignment vertical="center" readingOrder="0"/>
    </dxf>
  </rfmt>
  <rfmt sheetId="1" sqref="C43:C45">
    <dxf>
      <alignment vertical="center" readingOrder="0"/>
    </dxf>
  </rfmt>
  <rfmt sheetId="1" sqref="D43:D45">
    <dxf>
      <alignment vertical="center" readingOrder="0"/>
    </dxf>
  </rfmt>
  <rfmt sheetId="1" sqref="E43:E45">
    <dxf>
      <alignment vertical="center" readingOrder="0"/>
    </dxf>
  </rfmt>
  <rfmt sheetId="1" sqref="E37:E39">
    <dxf>
      <alignment vertical="center" readingOrder="0"/>
    </dxf>
  </rfmt>
  <rfmt sheetId="1" sqref="E12:E16">
    <dxf>
      <alignment vertical="center" readingOrder="0"/>
    </dxf>
  </rfmt>
  <rfmt sheetId="1" sqref="E19:E26">
    <dxf>
      <alignment vertical="center" readingOrder="0"/>
    </dxf>
  </rfmt>
  <rfmt sheetId="1" sqref="E29:E34">
    <dxf>
      <alignment vertical="center" readingOrder="0"/>
    </dxf>
  </rfmt>
  <rfmt sheetId="1" sqref="E43:E45">
    <dxf>
      <alignment vertical="bottom" readingOrder="0"/>
    </dxf>
  </rfmt>
  <rfmt sheetId="1" sqref="E43:E45">
    <dxf>
      <alignment vertical="center" readingOrder="0"/>
    </dxf>
  </rfmt>
  <rfmt sheetId="1" sqref="E48:E49">
    <dxf>
      <alignment vertical="center" readingOrder="0"/>
    </dxf>
  </rfmt>
  <rfmt sheetId="1" sqref="C48:D49">
    <dxf>
      <alignment vertical="center" readingOrder="0"/>
    </dxf>
  </rfmt>
  <rfmt sheetId="1" sqref="C52:E52">
    <dxf>
      <alignment vertical="center" readingOrder="0"/>
    </dxf>
  </rfmt>
  <rfmt sheetId="1" sqref="C55:E57">
    <dxf>
      <alignment vertical="center" readingOrder="0"/>
    </dxf>
  </rfmt>
  <rfmt sheetId="1" sqref="C61:E68">
    <dxf>
      <alignment vertical="center" readingOrder="0"/>
    </dxf>
  </rfmt>
  <rfmt sheetId="1" sqref="C71:E76">
    <dxf>
      <alignment vertical="center" readingOrder="0"/>
    </dxf>
  </rfmt>
  <rfmt sheetId="1" sqref="C79:E84">
    <dxf>
      <alignment vertical="center" readingOrder="0"/>
    </dxf>
  </rfmt>
  <rfmt sheetId="1" sqref="C87:E92">
    <dxf>
      <alignment vertical="center" readingOrder="0"/>
    </dxf>
  </rfmt>
  <rfmt sheetId="1" sqref="C96:E96">
    <dxf>
      <alignment vertical="center" readingOrder="0"/>
    </dxf>
  </rfmt>
  <rfmt sheetId="1" sqref="C99:E99">
    <dxf>
      <alignment vertical="center" readingOrder="0"/>
    </dxf>
  </rfmt>
  <rfmt sheetId="1" sqref="C102:E103">
    <dxf>
      <alignment vertical="center" readingOrder="0"/>
    </dxf>
  </rfmt>
  <rfmt sheetId="1" sqref="C106:E109">
    <dxf>
      <alignment vertical="center" readingOrder="0"/>
    </dxf>
  </rfmt>
  <rfmt sheetId="1" sqref="C112:E113">
    <dxf>
      <alignment vertical="center" readingOrder="0"/>
    </dxf>
  </rfmt>
  <rfmt sheetId="1" sqref="C117:E117">
    <dxf>
      <alignment vertical="center" readingOrder="0"/>
    </dxf>
  </rfmt>
  <rfmt sheetId="1" sqref="C120:E122">
    <dxf>
      <alignment vertical="center" readingOrder="0"/>
    </dxf>
  </rfmt>
  <rfmt sheetId="1" sqref="C125:E125">
    <dxf>
      <alignment vertical="center" readingOrder="0"/>
    </dxf>
  </rfmt>
  <rfmt sheetId="1" sqref="C128:E130">
    <dxf>
      <alignment vertical="center" readingOrder="0"/>
    </dxf>
  </rfmt>
  <rfmt sheetId="1" sqref="C134:E136">
    <dxf>
      <alignment vertical="center" readingOrder="0"/>
    </dxf>
  </rfmt>
  <rfmt sheetId="1" sqref="C140:E141">
    <dxf>
      <alignment vertical="center" readingOrder="0"/>
    </dxf>
  </rfmt>
  <rfmt sheetId="1" sqref="C144:E144">
    <dxf>
      <alignment vertical="center" readingOrder="0"/>
    </dxf>
  </rfmt>
  <rfmt sheetId="1" sqref="C148:E148">
    <dxf>
      <alignment vertical="center" readingOrder="0"/>
    </dxf>
  </rfmt>
  <rfmt sheetId="1" sqref="C151:E154">
    <dxf>
      <alignment vertical="center" readingOrder="0"/>
    </dxf>
  </rfmt>
  <rfmt sheetId="1" sqref="C157:E158">
    <dxf>
      <alignment vertical="center" readingOrder="0"/>
    </dxf>
  </rfmt>
  <rfmt sheetId="1" sqref="C162:E167">
    <dxf>
      <alignment vertical="center" readingOrder="0"/>
    </dxf>
  </rfmt>
  <rfmt sheetId="1" sqref="C170:E170">
    <dxf>
      <alignment vertical="center" readingOrder="0"/>
    </dxf>
  </rfmt>
  <rfmt sheetId="1" sqref="C173:E175">
    <dxf>
      <alignment vertical="center" readingOrder="0"/>
    </dxf>
  </rfmt>
  <rfmt sheetId="1" sqref="C179:E180">
    <dxf>
      <alignment vertical="center" readingOrder="0"/>
    </dxf>
  </rfmt>
  <rfmt sheetId="1" sqref="C183:E190">
    <dxf>
      <alignment vertical="center" readingOrder="0"/>
    </dxf>
  </rfmt>
  <rfmt sheetId="1" sqref="C191:E191">
    <dxf>
      <alignment vertical="center" readingOrder="0"/>
    </dxf>
  </rfmt>
  <rfmt sheetId="1" sqref="C194:E194">
    <dxf>
      <alignment vertical="center" readingOrder="0"/>
    </dxf>
  </rfmt>
  <rfmt sheetId="1" sqref="C198:E199">
    <dxf>
      <alignment vertical="center" readingOrder="0"/>
    </dxf>
  </rfmt>
  <rfmt sheetId="1" sqref="C203:E204">
    <dxf>
      <alignment vertical="center" readingOrder="0"/>
    </dxf>
  </rfmt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Лист1!$A$4:$V$206</formula>
    <oldFormula>Лист1!$A$4:$V$206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revisionLog131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Лист1!$E$12:$E$206</formula>
    <oldFormula>Лист1!$E$12:$E$206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revisionLog141.xml><?xml version="1.0" encoding="utf-8"?>
<revisions xmlns="http://schemas.openxmlformats.org/spreadsheetml/2006/main" xmlns:r="http://schemas.openxmlformats.org/officeDocument/2006/relationships">
  <rfmt sheetId="1" sqref="K162:L162">
    <dxf>
      <fill>
        <patternFill>
          <bgColor rgb="FFFFFF00"/>
        </patternFill>
      </fill>
    </dxf>
  </rfmt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Лист1!$E$12:$E$206</formula>
    <oldFormula>Лист1!$E$12:$E$206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revisionLog1111.xml><?xml version="1.0" encoding="utf-8"?>
<revisions xmlns="http://schemas.openxmlformats.org/spreadsheetml/2006/main" xmlns:r="http://schemas.openxmlformats.org/officeDocument/2006/relationships">
  <rfmt sheetId="1" sqref="K1:K1048576">
    <dxf>
      <fill>
        <patternFill>
          <bgColor rgb="FFFFFF00"/>
        </patternFill>
      </fill>
    </dxf>
  </rfmt>
  <rcc rId="790" sId="1" numFmtId="4">
    <oc r="K34">
      <v>1.9</v>
    </oc>
    <nc r="K34">
      <v>1.8</v>
    </nc>
  </rcc>
  <rcc rId="791" sId="1" numFmtId="4">
    <oc r="K56">
      <v>10793.3</v>
    </oc>
    <nc r="K56">
      <v>13592.9</v>
    </nc>
  </rcc>
  <rfmt sheetId="1" sqref="K24">
    <dxf>
      <fill>
        <patternFill>
          <bgColor rgb="FF92D050"/>
        </patternFill>
      </fill>
    </dxf>
  </rfmt>
  <rfmt sheetId="1" sqref="K24">
    <dxf>
      <fill>
        <patternFill>
          <bgColor rgb="FFFFFF00"/>
        </patternFill>
      </fill>
    </dxf>
  </rfmt>
  <rcc rId="792" sId="1" numFmtId="4">
    <nc r="K72">
      <v>30.4</v>
    </nc>
  </rcc>
  <rcc rId="793" sId="1" numFmtId="4">
    <oc r="K88">
      <f>9400+3800</f>
    </oc>
    <nc r="K88">
      <v>17000</v>
    </nc>
  </rcc>
  <rcc rId="794" sId="1" numFmtId="4">
    <oc r="K32">
      <f>9997+25414.8</f>
    </oc>
    <nc r="K32">
      <v>48747.7</v>
    </nc>
  </rcc>
  <rcc rId="795" sId="1" numFmtId="4">
    <nc r="K162">
      <v>309.10000000000002</v>
    </nc>
  </rcc>
  <rcc rId="796" sId="1" numFmtId="4">
    <oc r="K39">
      <f>11428.5+3960.4</f>
    </oc>
    <nc r="K39">
      <v>15717.7</v>
    </nc>
  </rcc>
  <rcc rId="797" sId="1" numFmtId="4">
    <oc r="K130">
      <f>20.7+17.4</f>
    </oc>
    <nc r="K130">
      <v>1062.5</v>
    </nc>
  </rcc>
  <rcc rId="798" sId="1" numFmtId="4">
    <oc r="K144">
      <v>2253.6999999999998</v>
    </oc>
    <nc r="K144">
      <v>4507.3</v>
    </nc>
  </rcc>
  <rcc rId="799" sId="1" numFmtId="4">
    <nc r="K89">
      <v>9.8000000000000007</v>
    </nc>
  </rcc>
  <rcc rId="800" sId="1" numFmtId="4">
    <oc r="K38">
      <f>116359.5+33889.7</f>
    </oc>
    <nc r="K38">
      <v>154432</v>
    </nc>
  </rcc>
  <rfmt sheetId="1" sqref="K1:K1048576">
    <dxf>
      <fill>
        <patternFill>
          <bgColor theme="0"/>
        </patternFill>
      </fill>
    </dxf>
  </rfmt>
  <rfmt sheetId="1" sqref="J9:L9">
    <dxf>
      <fill>
        <patternFill>
          <bgColor theme="6" tint="0.59999389629810485"/>
        </patternFill>
      </fill>
    </dxf>
  </rfmt>
  <rfmt sheetId="1" sqref="J40:M40">
    <dxf>
      <fill>
        <patternFill>
          <bgColor theme="6" tint="0.59999389629810485"/>
        </patternFill>
      </fill>
    </dxf>
  </rfmt>
  <rfmt sheetId="1" sqref="J58:L58">
    <dxf>
      <fill>
        <patternFill>
          <bgColor theme="6" tint="0.59999389629810485"/>
        </patternFill>
      </fill>
    </dxf>
  </rfmt>
  <rfmt sheetId="1" sqref="J93:L93">
    <dxf>
      <fill>
        <patternFill>
          <bgColor theme="6" tint="0.59999389629810485"/>
        </patternFill>
      </fill>
    </dxf>
  </rfmt>
  <rfmt sheetId="1" sqref="J114:L114">
    <dxf>
      <fill>
        <patternFill>
          <bgColor theme="6" tint="0.59999389629810485"/>
        </patternFill>
      </fill>
    </dxf>
  </rfmt>
  <rfmt sheetId="1" sqref="J131:L131">
    <dxf>
      <fill>
        <patternFill>
          <bgColor theme="6" tint="0.59999389629810485"/>
        </patternFill>
      </fill>
    </dxf>
  </rfmt>
  <rfmt sheetId="1" sqref="J145:L145">
    <dxf>
      <fill>
        <patternFill>
          <bgColor theme="6" tint="0.59999389629810485"/>
        </patternFill>
      </fill>
    </dxf>
  </rfmt>
  <rfmt sheetId="1" sqref="J159:M159">
    <dxf>
      <fill>
        <patternFill>
          <bgColor theme="6" tint="0.59999389629810485"/>
        </patternFill>
      </fill>
    </dxf>
  </rfmt>
  <rfmt sheetId="1" sqref="K176:L176">
    <dxf>
      <fill>
        <patternFill>
          <bgColor theme="6" tint="0.59999389629810485"/>
        </patternFill>
      </fill>
    </dxf>
  </rfmt>
  <rfmt sheetId="1" sqref="J195:L195">
    <dxf>
      <fill>
        <patternFill>
          <bgColor theme="6" tint="0.59999389629810485"/>
        </patternFill>
      </fill>
    </dxf>
  </rfmt>
  <rfmt sheetId="1" sqref="J200:L200">
    <dxf>
      <fill>
        <patternFill>
          <bgColor theme="6" tint="0.59999389629810485"/>
        </patternFill>
      </fill>
    </dxf>
  </rfmt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Лист1!$E$12:$E$206</formula>
    <oldFormula>Лист1!$E$12:$E$206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revisionLog1191.xml><?xml version="1.0" encoding="utf-8"?>
<revisions xmlns="http://schemas.openxmlformats.org/spreadsheetml/2006/main" xmlns:r="http://schemas.openxmlformats.org/officeDocument/2006/relationships">
  <rcc rId="638" sId="1">
    <oc r="A1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01.04.2021</t>
      </is>
    </oc>
    <nc r="A1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01.05.2021</t>
      </is>
    </nc>
  </rcc>
  <rcv guid="{FE09AB06-1ECE-4486-BCA1-E9D85830708B}" action="delete"/>
  <rdn rId="0" localSheetId="1" customView="1" name="Z_FE09AB06_1ECE_4486_BCA1_E9D85830708B_.wvu.PrintArea" hidden="1" oldHidden="1">
    <formula>Лист1!$A$1:$V$205</formula>
    <oldFormula>Лист1!$A$1:$V$205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Лист1!$A$4:$V$205</formula>
    <oldFormula>Лист1!$A$4:$V$205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revisionLog1201.xml><?xml version="1.0" encoding="utf-8"?>
<revisions xmlns="http://schemas.openxmlformats.org/spreadsheetml/2006/main" xmlns:r="http://schemas.openxmlformats.org/officeDocument/2006/relationships">
  <rcc rId="701" sId="1" numFmtId="4">
    <nc r="P186">
      <v>0</v>
    </nc>
  </rcc>
  <rcc rId="702" sId="1" numFmtId="4">
    <nc r="T186">
      <v>0</v>
    </nc>
  </rcc>
  <rcc rId="703" sId="1" numFmtId="4">
    <nc r="H186">
      <v>0</v>
    </nc>
  </rcc>
  <rfmt sheetId="1" sqref="L1:L1048576">
    <dxf>
      <fill>
        <patternFill>
          <bgColor rgb="FFFFFF00"/>
        </patternFill>
      </fill>
    </dxf>
  </rfmt>
  <rcc rId="704" sId="1" numFmtId="4">
    <nc r="L34">
      <v>59.1</v>
    </nc>
  </rcc>
  <rcc rId="705" sId="1">
    <oc r="L44">
      <v>51363.6</v>
    </oc>
    <nc r="L44">
      <f>51363.6+25681.8</f>
    </nc>
  </rcc>
  <rcc rId="706" sId="1" xfDxf="1" dxf="1" numFmtId="4">
    <nc r="L24">
      <v>1402.4</v>
    </nc>
    <ndxf>
      <font>
        <sz val="14"/>
        <name val="Times New Roman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07" sId="1" xfDxf="1" dxf="1" numFmtId="4">
    <nc r="L67">
      <v>9396.2000000000007</v>
    </nc>
    <ndxf>
      <font>
        <sz val="14"/>
        <name val="Times New Roman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08" sId="1" xfDxf="1" dxf="1" numFmtId="4">
    <nc r="L80">
      <v>539.4</v>
    </nc>
    <ndxf>
      <font>
        <sz val="14"/>
        <name val="Times New Roman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09" sId="1">
    <oc r="L32">
      <v>10565.1</v>
    </oc>
    <nc r="L32">
      <f>10565.1+26209.4</f>
    </nc>
  </rcc>
  <rcc rId="710" sId="1" numFmtId="4">
    <oc r="L167">
      <v>400</v>
    </oc>
    <nc r="L167">
      <f>400+1939.3</f>
    </nc>
  </rcc>
  <rcc rId="711" sId="1" numFmtId="4">
    <oc r="L39">
      <v>55797.9</v>
    </oc>
    <nc r="L39">
      <f>55797.9+19336.1</f>
    </nc>
  </rcc>
  <rcc rId="712" sId="1" numFmtId="4">
    <oc r="L37">
      <v>290106.3</v>
    </oc>
    <nc r="L37">
      <f>290106.3+97645.5</f>
    </nc>
  </rcc>
  <rcc rId="713" sId="1" numFmtId="4">
    <oc r="L117">
      <v>4212.8</v>
    </oc>
    <nc r="L117">
      <f>4212.8+7126.4</f>
    </nc>
  </rcc>
  <rcc rId="714" sId="1" numFmtId="4">
    <oc r="H120">
      <v>503521.8</v>
    </oc>
    <nc r="H120">
      <f>503521.8+693526.5</f>
    </nc>
  </rcc>
  <rcc rId="715" sId="1" numFmtId="4">
    <nc r="L135">
      <v>33</v>
    </nc>
  </rcc>
  <rcc rId="716" sId="1" numFmtId="4">
    <nc r="L136">
      <v>565.4</v>
    </nc>
  </rcc>
  <rcc rId="717" sId="1" numFmtId="4">
    <oc r="L130">
      <v>837.5</v>
    </oc>
    <nc r="L130">
      <f>837.5+703.5</f>
    </nc>
  </rcc>
  <rcc rId="718" sId="1" numFmtId="4">
    <oc r="L144">
      <v>11003.2</v>
    </oc>
    <nc r="L144">
      <f>11003.2+0.03</f>
    </nc>
  </rcc>
  <rfmt sheetId="1" sqref="H1:H1048576">
    <dxf>
      <fill>
        <patternFill>
          <bgColor theme="0"/>
        </patternFill>
      </fill>
    </dxf>
  </rfmt>
  <rfmt sheetId="1" sqref="L1:L1048576">
    <dxf>
      <fill>
        <patternFill>
          <bgColor theme="0"/>
        </patternFill>
      </fill>
    </dxf>
  </rfmt>
  <rfmt sheetId="1" sqref="P1:P1048576">
    <dxf>
      <fill>
        <patternFill>
          <bgColor theme="0"/>
        </patternFill>
      </fill>
    </dxf>
  </rfmt>
  <rfmt sheetId="1" sqref="G1:G1048576">
    <dxf>
      <fill>
        <patternFill>
          <bgColor rgb="FF92D050"/>
        </patternFill>
      </fill>
    </dxf>
  </rfmt>
  <rfmt sheetId="1" sqref="K1:K1048576">
    <dxf>
      <fill>
        <patternFill>
          <bgColor rgb="FF92D050"/>
        </patternFill>
      </fill>
    </dxf>
  </rfmt>
  <rfmt sheetId="1" sqref="O1:O1048576">
    <dxf>
      <fill>
        <patternFill>
          <bgColor rgb="FF92D050"/>
        </patternFill>
      </fill>
    </dxf>
  </rfmt>
  <rfmt sheetId="1" sqref="S1:S1048576">
    <dxf>
      <fill>
        <patternFill>
          <bgColor rgb="FF92D050"/>
        </patternFill>
      </fill>
    </dxf>
  </rfmt>
  <rfmt sheetId="1" sqref="T1:T1048576">
    <dxf>
      <fill>
        <patternFill>
          <bgColor theme="0"/>
        </patternFill>
      </fill>
    </dxf>
  </rfmt>
  <rcc rId="719" sId="1" numFmtId="4">
    <nc r="K34">
      <v>1.9</v>
    </nc>
  </rcc>
  <rcc rId="720" sId="1">
    <oc r="G183">
      <f>1164.5+0.04</f>
    </oc>
    <nc r="G183">
      <f>1164.5+0.04-1164.54</f>
    </nc>
  </rcc>
  <rcc rId="721" sId="1">
    <oc r="G184">
      <f>92.8</f>
    </oc>
    <nc r="G184">
      <f>92.8-92.78</f>
    </nc>
  </rcc>
  <rcc rId="722" sId="1" numFmtId="4">
    <oc r="O183">
      <v>677.8</v>
    </oc>
    <nc r="O183">
      <f>677.8-677.8</f>
    </nc>
  </rcc>
  <rcc rId="723" sId="1">
    <oc r="O184">
      <f>92.8-0.02</f>
    </oc>
    <nc r="O184">
      <f>92.8-0.02-92.78</f>
    </nc>
  </rcc>
  <rcc rId="724" sId="1">
    <oc r="S183">
      <f>862.2+0.04</f>
    </oc>
    <nc r="S183">
      <f>862.2+0.04-862.24</f>
    </nc>
  </rcc>
  <rcc rId="725" sId="1">
    <oc r="S184">
      <f>92.8-0.02</f>
    </oc>
    <nc r="S184">
      <f>92.8-0.02-92.78</f>
    </nc>
  </rcc>
  <rcc rId="726" sId="1">
    <oc r="S185">
      <f>413.9-0.01</f>
    </oc>
    <nc r="S185">
      <f>413.9-0.01-413.89</f>
    </nc>
  </rcc>
  <rcc rId="727" sId="1">
    <oc r="O185">
      <f>206.4-0.04</f>
    </oc>
    <nc r="O185">
      <f>206.4-0.04-206.36</f>
    </nc>
  </rcc>
  <rcc rId="728" sId="1">
    <oc r="G185">
      <f>306.5-0.07</f>
    </oc>
    <nc r="G185">
      <f>306.5-0.07-306.43</f>
    </nc>
  </rcc>
  <rcc rId="729" sId="1" numFmtId="4">
    <oc r="K44">
      <v>48636.3</v>
    </oc>
    <nc r="K44">
      <f>48636.3+24318.2</f>
    </nc>
  </rcc>
  <rcc rId="730" sId="1" numFmtId="4">
    <oc r="G52">
      <v>17790</v>
    </oc>
    <nc r="G52">
      <f>17790+3829.1</f>
    </nc>
  </rcc>
  <rcc rId="731" sId="1" numFmtId="4">
    <nc r="K22">
      <v>1800</v>
    </nc>
  </rcc>
  <rcc rId="732" sId="1" numFmtId="4">
    <oc r="K21">
      <v>11508.6</v>
    </oc>
    <nc r="K21">
      <f>11508.6+2660</f>
    </nc>
  </rcc>
  <rcc rId="733" sId="1" numFmtId="4">
    <oc r="K23">
      <v>17258.3</v>
    </oc>
    <nc r="K23">
      <f>17258.3+9957.3</f>
    </nc>
  </rcc>
  <rcc rId="734" sId="1" numFmtId="4">
    <nc r="K20">
      <v>14631.2</v>
    </nc>
  </rcc>
  <rcc rId="735" sId="1" numFmtId="4">
    <nc r="K24">
      <v>873.6</v>
    </nc>
  </rcc>
  <rcc rId="736" sId="1" numFmtId="4">
    <oc r="G19">
      <v>748.1</v>
    </oc>
    <nc r="G19">
      <f>748.1+3578</f>
    </nc>
  </rcc>
  <rcc rId="737" sId="1" numFmtId="4">
    <nc r="K67">
      <v>290.60000000000002</v>
    </nc>
  </rcc>
  <rcc rId="738" sId="1" numFmtId="4">
    <nc r="K80">
      <v>16.7</v>
    </nc>
  </rcc>
  <rcc rId="739" sId="1" numFmtId="4">
    <nc r="K75">
      <v>14726.4</v>
    </nc>
  </rcc>
  <rcc rId="740" sId="1" numFmtId="4">
    <nc r="K76">
      <v>398.3</v>
    </nc>
  </rcc>
  <rcc rId="741" sId="1" numFmtId="4">
    <oc r="K88">
      <v>9400</v>
    </oc>
    <nc r="K88">
      <f>9400+3800</f>
    </nc>
  </rcc>
  <rcc rId="742" sId="1" numFmtId="4">
    <nc r="K90">
      <v>1454.4</v>
    </nc>
  </rcc>
  <rcc rId="743" sId="1" numFmtId="4">
    <oc r="K32">
      <v>9997</v>
    </oc>
    <nc r="K32">
      <f>9997+25414.8</f>
    </nc>
  </rcc>
  <rcc rId="744" sId="1" numFmtId="4">
    <oc r="K39">
      <v>11428.5</v>
    </oc>
    <nc r="K39">
      <f>11428.5+3960.4</f>
    </nc>
  </rcc>
  <rcc rId="745" sId="1" numFmtId="4">
    <oc r="K38">
      <v>116359.5</v>
    </oc>
    <nc r="K38">
      <f>116359.5+33889.7</f>
    </nc>
  </rcc>
  <rcc rId="746" sId="1" numFmtId="4">
    <oc r="K117">
      <v>130.30000000000001</v>
    </oc>
    <nc r="K117">
      <f>130.3+220.4</f>
    </nc>
  </rcc>
  <rcc rId="747" sId="1" numFmtId="4">
    <oc r="G122">
      <v>205158.3</v>
    </oc>
    <nc r="G122">
      <f>205158.3+31089.3</f>
    </nc>
  </rcc>
  <rcc rId="748" sId="1" numFmtId="4">
    <oc r="G148">
      <v>3422994.8</v>
    </oc>
    <nc r="G148">
      <f>3422994.8-156147</f>
    </nc>
  </rcc>
  <rcc rId="749" sId="1" numFmtId="4">
    <oc r="K148">
      <v>487335.4</v>
    </oc>
    <nc r="K148">
      <f>487335.4+131123.3</f>
    </nc>
  </rcc>
  <rcc rId="750" sId="1" xfDxf="1" dxf="1" numFmtId="4">
    <nc r="K158">
      <v>18798.900000000001</v>
    </nc>
    <ndxf>
      <font>
        <sz val="14"/>
        <name val="Times New Roman"/>
        <scheme val="none"/>
      </font>
      <numFmt numFmtId="164" formatCode="#,##0.0"/>
      <fill>
        <patternFill patternType="solid">
          <bgColor rgb="FF92D050"/>
        </patternFill>
      </fill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51" sId="1" numFmtId="4">
    <oc r="G158">
      <v>33000</v>
    </oc>
    <nc r="G158">
      <f>33000+18798.9</f>
    </nc>
  </rcc>
  <rcc rId="752" sId="1" numFmtId="4">
    <nc r="G129">
      <v>12000</v>
    </nc>
  </rcc>
  <rcc rId="753" sId="1" numFmtId="4">
    <nc r="K106">
      <v>517.6</v>
    </nc>
  </rcc>
  <rcc rId="754" sId="1">
    <oc r="K130">
      <v>20.7</v>
    </oc>
    <nc r="K130">
      <f>20.7+17.4</f>
    </nc>
  </rcc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Лист1!$A$4:$V$206</formula>
    <oldFormula>Лист1!$A$4:$V$206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revisionLog1211.xml><?xml version="1.0" encoding="utf-8"?>
<revisions xmlns="http://schemas.openxmlformats.org/spreadsheetml/2006/main" xmlns:r="http://schemas.openxmlformats.org/officeDocument/2006/relationships">
  <rfmt sheetId="1" sqref="I1:I1048576">
    <dxf>
      <fill>
        <patternFill>
          <bgColor rgb="FFFFFF00"/>
        </patternFill>
      </fill>
    </dxf>
  </rfmt>
  <rfmt sheetId="1" sqref="M1:M1048576">
    <dxf>
      <fill>
        <patternFill>
          <bgColor rgb="FFFFFF00"/>
        </patternFill>
      </fill>
    </dxf>
  </rfmt>
  <rcc rId="829" sId="1" numFmtId="4">
    <oc r="I25">
      <v>1258.9000000000001</v>
    </oc>
    <nc r="I25">
      <v>1410.9</v>
    </nc>
  </rcc>
  <rcc rId="830" sId="1" numFmtId="4">
    <nc r="M25">
      <v>0</v>
    </nc>
  </rcc>
  <rcc rId="831" sId="1" numFmtId="4">
    <oc r="I24">
      <v>182</v>
    </oc>
    <nc r="I24">
      <v>223.9</v>
    </nc>
  </rcc>
  <rcc rId="832" sId="1" numFmtId="4">
    <nc r="M24">
      <v>70.400000000000006</v>
    </nc>
  </rcc>
  <rcc rId="833" sId="1" numFmtId="4">
    <oc r="I21">
      <v>1058.7</v>
    </oc>
    <nc r="I21">
      <v>2368.4</v>
    </nc>
  </rcc>
  <rcc rId="834" sId="1" numFmtId="4">
    <oc r="I23">
      <v>11416.4</v>
    </oc>
    <nc r="I23">
      <v>11769.1</v>
    </nc>
  </rcc>
  <rcc rId="835" sId="1" numFmtId="4">
    <oc r="M23">
      <v>5073.5</v>
    </oc>
    <nc r="M23">
      <v>6019.9</v>
    </nc>
  </rcc>
  <rcc rId="836" sId="1" numFmtId="4">
    <oc r="I19">
      <v>120.6</v>
    </oc>
    <nc r="I19">
      <v>442.2</v>
    </nc>
  </rcc>
  <rcc rId="837" sId="1" numFmtId="4">
    <nc r="M19">
      <v>0</v>
    </nc>
  </rcc>
  <rcc rId="838" sId="1" numFmtId="4">
    <oc r="I20">
      <v>9045.1</v>
    </oc>
    <nc r="I20">
      <v>6195.4</v>
    </nc>
  </rcc>
  <rcc rId="839" sId="1" numFmtId="4">
    <oc r="M20">
      <v>5080.7</v>
    </oc>
    <nc r="M20">
      <v>5850.8</v>
    </nc>
  </rcc>
  <rcc rId="840" sId="1" numFmtId="4">
    <oc r="I22">
      <v>864</v>
    </oc>
    <nc r="I22">
      <v>1024</v>
    </nc>
  </rcc>
  <rcc rId="841" sId="1" numFmtId="4">
    <nc r="M22">
      <v>69</v>
    </nc>
  </rcc>
  <rcc rId="842" sId="1" numFmtId="4">
    <nc r="I31">
      <v>0</v>
    </nc>
  </rcc>
  <rcc rId="843" sId="1" numFmtId="4">
    <nc r="M31">
      <v>0</v>
    </nc>
  </rcc>
  <rcc rId="844" sId="1" numFmtId="4">
    <oc r="I30">
      <v>0</v>
    </oc>
    <nc r="I30">
      <v>19690</v>
    </nc>
  </rcc>
  <rcc rId="845" sId="1" numFmtId="4">
    <oc r="M30">
      <v>0</v>
    </oc>
    <nc r="M30">
      <v>19108.3</v>
    </nc>
  </rcc>
  <rcc rId="846" sId="1" numFmtId="4">
    <oc r="I29">
      <v>0</v>
    </oc>
    <nc r="I29">
      <v>9641.7999999999993</v>
    </nc>
  </rcc>
  <rcc rId="847" sId="1" numFmtId="4">
    <oc r="M29">
      <v>0</v>
    </oc>
    <nc r="M29">
      <v>8966.2000000000007</v>
    </nc>
  </rcc>
  <rcc rId="848" sId="1" numFmtId="4">
    <oc r="M32">
      <v>20.6</v>
    </oc>
    <nc r="M32">
      <v>97.4</v>
    </nc>
  </rcc>
  <rcc rId="849" sId="1" numFmtId="4">
    <oc r="I67">
      <v>3634.8</v>
    </oc>
    <nc r="I67">
      <v>246583.9</v>
    </nc>
  </rcc>
  <rcc rId="850" sId="1" numFmtId="4">
    <oc r="M67">
      <v>138.19999999999999</v>
    </oc>
    <nc r="M67">
      <v>438.5</v>
    </nc>
  </rcc>
  <rcc rId="851" sId="1" numFmtId="4">
    <oc r="I117">
      <v>23048.799999999999</v>
    </oc>
    <nc r="I117">
      <v>22537.8</v>
    </nc>
  </rcc>
  <rcc rId="852" sId="1" numFmtId="4">
    <oc r="M117">
      <v>380</v>
    </oc>
    <nc r="M117">
      <v>862.1</v>
    </nc>
  </rcc>
  <rcc rId="853" sId="1" numFmtId="4">
    <oc r="M144">
      <v>751.2</v>
    </oc>
    <nc r="M144">
      <v>1502.4</v>
    </nc>
  </rcc>
  <rcc rId="854" sId="1" numFmtId="4">
    <oc r="I148">
      <v>285985</v>
    </oc>
    <nc r="I148">
      <v>295700</v>
    </nc>
  </rcc>
  <rcc rId="855" sId="1" numFmtId="4">
    <nc r="M162">
      <v>181.8</v>
    </nc>
  </rcc>
  <rcc rId="856" sId="1" numFmtId="4">
    <oc r="M130">
      <v>5.2</v>
    </oc>
    <nc r="M130">
      <v>324</v>
    </nc>
  </rcc>
  <rcc rId="857" sId="1" numFmtId="4">
    <nc r="I129">
      <v>1424</v>
    </nc>
  </rcc>
  <rfmt sheetId="1" sqref="Z10" start="0" length="0">
    <dxf>
      <numFmt numFmtId="164" formatCode="#,##0.0"/>
    </dxf>
  </rfmt>
  <rcc rId="858" sId="1" numFmtId="4">
    <nc r="Z9">
      <v>65945.5</v>
    </nc>
  </rcc>
  <rfmt sheetId="1" sqref="I30">
    <dxf>
      <fill>
        <patternFill>
          <bgColor rgb="FF92D050"/>
        </patternFill>
      </fill>
    </dxf>
  </rfmt>
  <rcc rId="859" sId="1" numFmtId="4">
    <oc r="I118">
      <v>212195.8</v>
    </oc>
    <nc r="I118">
      <v>194881.7</v>
    </nc>
  </rcc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Лист1!$E$12:$E$206</formula>
    <oldFormula>Лист1!$E$12:$E$206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revisionLog1212.xml><?xml version="1.0" encoding="utf-8"?>
<revisions xmlns="http://schemas.openxmlformats.org/spreadsheetml/2006/main" xmlns:r="http://schemas.openxmlformats.org/officeDocument/2006/relationships">
  <rfmt sheetId="1" sqref="O1:O1048576">
    <dxf>
      <fill>
        <patternFill>
          <bgColor theme="0"/>
        </patternFill>
      </fill>
    </dxf>
  </rfmt>
  <rfmt sheetId="1" sqref="G1:G1048576">
    <dxf>
      <fill>
        <patternFill>
          <bgColor theme="0"/>
        </patternFill>
      </fill>
    </dxf>
  </rfmt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Лист1!$A$4:$V$206</formula>
    <oldFormula>Лист1!$A$4:$V$206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revisionLog1311.xml><?xml version="1.0" encoding="utf-8"?>
<revisions xmlns="http://schemas.openxmlformats.org/spreadsheetml/2006/main" xmlns:r="http://schemas.openxmlformats.org/officeDocument/2006/relationships">
  <rfmt sheetId="1" xfDxf="1" sqref="Z9" start="0" length="0">
    <dxf>
      <font>
        <b/>
        <sz val="8"/>
        <color auto="1"/>
        <name val="Arial Cyr"/>
        <scheme val="none"/>
      </font>
      <numFmt numFmtId="4" formatCode="#,##0.00"/>
      <alignment horizontal="right" readingOrder="0"/>
      <border outline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H183" start="0" length="0">
    <dxf>
      <font>
        <sz val="14"/>
        <name val="Times New Roman"/>
        <scheme val="none"/>
      </font>
      <numFmt numFmtId="164" formatCode="#,##0.0"/>
      <fill>
        <patternFill patternType="solid">
          <bgColor theme="0"/>
        </patternFill>
      </fill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87" sId="1" numFmtId="4">
    <oc r="P183">
      <f>21915.4-21915.4</f>
    </oc>
    <nc r="P183">
      <v>21915.4</v>
    </nc>
  </rcc>
  <rcc rId="888" sId="1" numFmtId="4">
    <oc r="T183">
      <f>27879.1-27879.1</f>
    </oc>
    <nc r="T183">
      <v>27879.05</v>
    </nc>
  </rcc>
  <rcc rId="889" sId="1" numFmtId="4">
    <oc r="H184">
      <f>3000-3000</f>
    </oc>
    <nc r="H184">
      <v>3000</v>
    </nc>
  </rcc>
  <rcc rId="890" sId="1" numFmtId="4">
    <oc r="P184">
      <f>3000-3000</f>
    </oc>
    <nc r="P184">
      <v>3000</v>
    </nc>
  </rcc>
  <rcc rId="891" sId="1" numFmtId="4">
    <oc r="T184">
      <f>3000-3000</f>
    </oc>
    <nc r="T184">
      <v>3000</v>
    </nc>
  </rcc>
  <rcc rId="892" sId="1" numFmtId="4">
    <oc r="H185">
      <f>9907.9-9907.9</f>
    </oc>
    <nc r="H185">
      <v>9907.85</v>
    </nc>
  </rcc>
  <rcc rId="893" sId="1" numFmtId="4">
    <oc r="P185">
      <f>6672.3-6672.3</f>
    </oc>
    <nc r="P185">
      <v>6672.3</v>
    </nc>
  </rcc>
  <rcc rId="894" sId="1" numFmtId="4">
    <oc r="T185">
      <f>13382.3-13382.3</f>
    </oc>
    <nc r="T185">
      <v>13382.35</v>
    </nc>
  </rcc>
  <rcc rId="895" sId="1" numFmtId="4">
    <oc r="H183">
      <f>37653.5-37653.5</f>
    </oc>
    <nc r="H183">
      <v>37653.5</v>
    </nc>
  </rcc>
  <rfmt sheetId="1" sqref="H8">
    <dxf>
      <fill>
        <patternFill>
          <bgColor theme="6" tint="0.59999389629810485"/>
        </patternFill>
      </fill>
    </dxf>
  </rfmt>
  <rfmt sheetId="1" xfDxf="1" sqref="Z9" start="0" length="0">
    <dxf>
      <font>
        <b/>
        <sz val="8"/>
        <color auto="1"/>
        <name val="Arial Cyr"/>
        <scheme val="none"/>
      </font>
      <numFmt numFmtId="4" formatCode="#,##0.00"/>
      <alignment horizontal="right" readingOrder="0"/>
      <border outline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</rfmt>
  <rfmt sheetId="1" sqref="L8">
    <dxf>
      <fill>
        <patternFill>
          <bgColor theme="6" tint="0.59999389629810485"/>
        </patternFill>
      </fill>
    </dxf>
  </rfmt>
  <rfmt sheetId="1" xfDxf="1" sqref="Z9" start="0" length="0">
    <dxf>
      <font>
        <b/>
        <sz val="8"/>
        <color auto="1"/>
        <name val="Arial Cyr"/>
        <scheme val="none"/>
      </font>
      <numFmt numFmtId="4" formatCode="#,##0.00"/>
      <alignment horizontal="right" readingOrder="0"/>
      <border outline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</rfmt>
  <rfmt sheetId="1" sqref="P8">
    <dxf>
      <fill>
        <patternFill>
          <bgColor theme="6" tint="0.59999389629810485"/>
        </patternFill>
      </fill>
    </dxf>
  </rfmt>
  <rfmt sheetId="1" xfDxf="1" sqref="Z9" start="0" length="0">
    <dxf>
      <font>
        <b/>
        <sz val="8"/>
        <color auto="1"/>
        <name val="Arial Cyr"/>
        <scheme val="none"/>
      </font>
      <numFmt numFmtId="4" formatCode="#,##0.00"/>
      <alignment horizontal="right" readingOrder="0"/>
      <border outline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</rfmt>
  <rfmt sheetId="1" sqref="T8">
    <dxf>
      <fill>
        <patternFill>
          <bgColor theme="6" tint="0.59999389629810485"/>
        </patternFill>
      </fill>
    </dxf>
  </rfmt>
  <rfmt sheetId="1" xfDxf="1" sqref="Z9" start="0" length="0">
    <dxf>
      <font>
        <b/>
        <sz val="8"/>
        <color auto="1"/>
        <name val="Arial Cyr"/>
        <scheme val="none"/>
      </font>
      <numFmt numFmtId="4" formatCode="#,##0.00"/>
      <alignment horizontal="right" readingOrder="0"/>
      <border outline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Z10" start="0" length="0">
    <dxf>
      <numFmt numFmtId="164" formatCode="#,##0.0"/>
    </dxf>
  </rfmt>
  <rfmt sheetId="1" sqref="Z11" start="0" length="0">
    <dxf>
      <numFmt numFmtId="4" formatCode="#,##0.00"/>
    </dxf>
  </rfmt>
  <rfmt sheetId="1" sqref="J8">
    <dxf>
      <fill>
        <patternFill>
          <bgColor theme="6" tint="0.59999389629810485"/>
        </patternFill>
      </fill>
    </dxf>
  </rfmt>
  <rfmt sheetId="1" sqref="G8:V8">
    <dxf>
      <fill>
        <patternFill>
          <bgColor theme="0"/>
        </patternFill>
      </fill>
    </dxf>
  </rfmt>
  <rfmt sheetId="1" sqref="Z9" start="0" length="0">
    <dxf>
      <font>
        <b val="0"/>
        <sz val="11"/>
        <color theme="1"/>
        <name val="Calibri"/>
        <scheme val="minor"/>
      </font>
      <numFmt numFmtId="0" formatCode="General"/>
      <alignment horizontal="general" vertical="bottom" readingOrder="0"/>
      <border outline="0">
        <left/>
        <right/>
        <top/>
        <bottom/>
      </border>
    </dxf>
  </rfmt>
  <rfmt sheetId="1" sqref="Z10" start="0" length="0">
    <dxf>
      <numFmt numFmtId="0" formatCode="General"/>
    </dxf>
  </rfmt>
  <rfmt sheetId="1" sqref="Z11" start="0" length="0">
    <dxf>
      <numFmt numFmtId="0" formatCode="General"/>
    </dxf>
  </rfmt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Лист1!$E$12:$E$206</formula>
    <oldFormula>Лист1!$E$12:$E$206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revisionLog11111.xml><?xml version="1.0" encoding="utf-8"?>
<revisions xmlns="http://schemas.openxmlformats.org/spreadsheetml/2006/main" xmlns:r="http://schemas.openxmlformats.org/officeDocument/2006/relationships">
  <rfmt sheetId="1" sqref="G9:H9">
    <dxf>
      <fill>
        <patternFill patternType="none">
          <bgColor auto="1"/>
        </patternFill>
      </fill>
    </dxf>
  </rfmt>
  <rfmt sheetId="1" sqref="G9:H9">
    <dxf>
      <fill>
        <patternFill patternType="solid">
          <bgColor rgb="FF339966"/>
        </patternFill>
      </fill>
    </dxf>
  </rfmt>
  <rfmt sheetId="1" sqref="G9:H9">
    <dxf>
      <fill>
        <patternFill>
          <bgColor theme="6" tint="0.59999389629810485"/>
        </patternFill>
      </fill>
    </dxf>
  </rfmt>
  <rfmt sheetId="1" sqref="K9:U9">
    <dxf>
      <fill>
        <patternFill>
          <bgColor theme="6" tint="0.59999389629810485"/>
        </patternFill>
      </fill>
    </dxf>
  </rfmt>
  <rfmt sheetId="1" sqref="F40:U40">
    <dxf>
      <fill>
        <patternFill>
          <bgColor theme="6" tint="0.59999389629810485"/>
        </patternFill>
      </fill>
    </dxf>
  </rfmt>
  <rfmt sheetId="1" sqref="F58:U58">
    <dxf>
      <fill>
        <patternFill>
          <bgColor theme="6" tint="0.59999389629810485"/>
        </patternFill>
      </fill>
    </dxf>
  </rfmt>
  <rfmt sheetId="1" sqref="F93:U93">
    <dxf>
      <fill>
        <patternFill>
          <bgColor theme="6" tint="0.59999389629810485"/>
        </patternFill>
      </fill>
    </dxf>
  </rfmt>
  <rfmt sheetId="1" sqref="F114:U114">
    <dxf>
      <fill>
        <patternFill>
          <bgColor theme="6" tint="0.59999389629810485"/>
        </patternFill>
      </fill>
    </dxf>
  </rfmt>
  <rfmt sheetId="1" sqref="F131:U131">
    <dxf>
      <fill>
        <patternFill>
          <bgColor theme="6" tint="0.59999389629810485"/>
        </patternFill>
      </fill>
    </dxf>
  </rfmt>
  <rfmt sheetId="1" sqref="F145:V145">
    <dxf>
      <fill>
        <patternFill>
          <bgColor theme="6" tint="0.59999389629810485"/>
        </patternFill>
      </fill>
    </dxf>
  </rfmt>
  <rfmt sheetId="1" sqref="F159:U159">
    <dxf>
      <fill>
        <patternFill>
          <bgColor theme="6" tint="0.59999389629810485"/>
        </patternFill>
      </fill>
    </dxf>
  </rfmt>
  <rfmt sheetId="1" sqref="E176:V176">
    <dxf>
      <fill>
        <patternFill>
          <bgColor theme="6" tint="0.59999389629810485"/>
        </patternFill>
      </fill>
    </dxf>
  </rfmt>
  <rfmt sheetId="1" sqref="C176:E177">
    <dxf>
      <alignment vertical="center" readingOrder="0"/>
    </dxf>
  </rfmt>
  <rfmt sheetId="1" sqref="E200:V200">
    <dxf>
      <fill>
        <patternFill>
          <bgColor theme="6" tint="0.59999389629810485"/>
        </patternFill>
      </fill>
    </dxf>
  </rfmt>
  <rfmt sheetId="1" sqref="F195:U195">
    <dxf>
      <fill>
        <patternFill>
          <bgColor theme="6" tint="0.59999389629810485"/>
        </patternFill>
      </fill>
    </dxf>
  </rfmt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Лист1!$E$12:$E$206</formula>
    <oldFormula>Лист1!$E$12:$E$206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revisionLog12011.xml><?xml version="1.0" encoding="utf-8"?>
<revisions xmlns="http://schemas.openxmlformats.org/spreadsheetml/2006/main" xmlns:r="http://schemas.openxmlformats.org/officeDocument/2006/relationships">
  <rfmt sheetId="1" sqref="H1:H1048576">
    <dxf>
      <fill>
        <patternFill>
          <bgColor rgb="FFFFFF00"/>
        </patternFill>
      </fill>
    </dxf>
  </rfmt>
  <rfmt sheetId="1" sqref="P1:P1048576">
    <dxf>
      <fill>
        <patternFill>
          <bgColor rgb="FFFFFF00"/>
        </patternFill>
      </fill>
    </dxf>
  </rfmt>
  <rfmt sheetId="1" sqref="T1:T1048576">
    <dxf>
      <fill>
        <patternFill>
          <bgColor rgb="FFFFFF00"/>
        </patternFill>
      </fill>
    </dxf>
  </rfmt>
  <rcc rId="684" sId="1" numFmtId="4">
    <oc r="P183">
      <v>21915.4</v>
    </oc>
    <nc r="P183">
      <f>21915.4-21915.4</f>
    </nc>
  </rcc>
  <rcc rId="685" sId="1" numFmtId="4">
    <oc r="T183">
      <v>27879.1</v>
    </oc>
    <nc r="T183">
      <f>27879.1-27879.1</f>
    </nc>
  </rcc>
  <rcc rId="686" sId="1">
    <oc r="H183">
      <f>37653.5+0.5</f>
    </oc>
    <nc r="H183">
      <f>37653.5-37653.5</f>
    </nc>
  </rcc>
  <rcc rId="687" sId="1" numFmtId="4">
    <oc r="H184">
      <v>3000</v>
    </oc>
    <nc r="H184">
      <f>3000-3000</f>
    </nc>
  </rcc>
  <rcc rId="688" sId="1" numFmtId="4">
    <oc r="P184">
      <v>3000</v>
    </oc>
    <nc r="P184">
      <f>3000-3000</f>
    </nc>
  </rcc>
  <rcc rId="689" sId="1" numFmtId="4">
    <oc r="T184">
      <v>3000</v>
    </oc>
    <nc r="T184">
      <f>3000-3000</f>
    </nc>
  </rcc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Лист1!$A$4:$V$206</formula>
    <oldFormula>Лист1!$A$4:$V$206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revisionLog12111.xml><?xml version="1.0" encoding="utf-8"?>
<revisions xmlns="http://schemas.openxmlformats.org/spreadsheetml/2006/main" xmlns:r="http://schemas.openxmlformats.org/officeDocument/2006/relationships">
  <rfmt sheetId="1" sqref="L1:L1048576">
    <dxf>
      <fill>
        <patternFill>
          <bgColor theme="0"/>
        </patternFill>
      </fill>
    </dxf>
  </rfmt>
  <rfmt sheetId="1" sqref="L9:M9">
    <dxf>
      <fill>
        <patternFill>
          <bgColor theme="6" tint="0.59999389629810485"/>
        </patternFill>
      </fill>
    </dxf>
  </rfmt>
  <rfmt sheetId="1" sqref="K40:M40">
    <dxf>
      <fill>
        <patternFill>
          <bgColor theme="6" tint="0.59999389629810485"/>
        </patternFill>
      </fill>
    </dxf>
  </rfmt>
  <rfmt sheetId="1" sqref="K58:M58">
    <dxf>
      <fill>
        <patternFill>
          <bgColor theme="6" tint="0.59999389629810485"/>
        </patternFill>
      </fill>
    </dxf>
  </rfmt>
  <rfmt sheetId="1" sqref="K93:M93">
    <dxf>
      <fill>
        <patternFill>
          <bgColor theme="6" tint="0.59999389629810485"/>
        </patternFill>
      </fill>
    </dxf>
  </rfmt>
  <rfmt sheetId="1" sqref="K114:M114">
    <dxf>
      <fill>
        <patternFill>
          <bgColor theme="6" tint="0.59999389629810485"/>
        </patternFill>
      </fill>
    </dxf>
  </rfmt>
  <rfmt sheetId="1" sqref="K131:N131">
    <dxf>
      <fill>
        <patternFill>
          <bgColor theme="6" tint="0.59999389629810485"/>
        </patternFill>
      </fill>
    </dxf>
  </rfmt>
  <rfmt sheetId="1" sqref="K145:M145">
    <dxf>
      <fill>
        <patternFill>
          <bgColor theme="6" tint="0.59999389629810485"/>
        </patternFill>
      </fill>
    </dxf>
  </rfmt>
  <rfmt sheetId="1" sqref="K159:M159">
    <dxf>
      <fill>
        <patternFill>
          <bgColor theme="6" tint="0.59999389629810485"/>
        </patternFill>
      </fill>
    </dxf>
  </rfmt>
  <rfmt sheetId="1" sqref="K176:M176">
    <dxf>
      <fill>
        <patternFill>
          <bgColor theme="6" tint="0.59999389629810485"/>
        </patternFill>
      </fill>
    </dxf>
  </rfmt>
  <rfmt sheetId="1" sqref="K195:M195">
    <dxf>
      <fill>
        <patternFill>
          <bgColor theme="6" tint="0.59999389629810485"/>
        </patternFill>
      </fill>
    </dxf>
  </rfmt>
  <rfmt sheetId="1" sqref="K200:M200">
    <dxf>
      <fill>
        <patternFill>
          <bgColor theme="6" tint="0.59999389629810485"/>
        </patternFill>
      </fill>
    </dxf>
  </rfmt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Лист1!$E$12:$E$206</formula>
    <oldFormula>Лист1!$E$12:$E$206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revisionLog13111.xml><?xml version="1.0" encoding="utf-8"?>
<revisions xmlns="http://schemas.openxmlformats.org/spreadsheetml/2006/main" xmlns:r="http://schemas.openxmlformats.org/officeDocument/2006/relationships">
  <rcc rId="873" sId="1" xfDxf="1" dxf="1" numFmtId="4">
    <oc r="G183">
      <f>1164.5+0.04-1164.54</f>
    </oc>
    <nc r="G183">
      <v>1164.5</v>
    </nc>
    <ndxf>
      <font>
        <sz val="14"/>
        <name val="Times New Roman"/>
        <scheme val="none"/>
      </font>
      <numFmt numFmtId="164" formatCode="#,##0.0"/>
      <fill>
        <patternFill patternType="solid">
          <bgColor theme="0"/>
        </patternFill>
      </fill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74" sId="1" xfDxf="1" dxf="1" numFmtId="4">
    <oc r="O183">
      <f>677.8-677.8</f>
    </oc>
    <nc r="O183">
      <v>677.8</v>
    </nc>
    <ndxf>
      <font>
        <sz val="14"/>
        <name val="Times New Roman"/>
        <scheme val="none"/>
      </font>
      <numFmt numFmtId="164" formatCode="#,##0.0"/>
      <fill>
        <patternFill patternType="solid">
          <bgColor theme="0"/>
        </patternFill>
      </fill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75" sId="1" xfDxf="1" dxf="1" numFmtId="4">
    <oc r="S183">
      <f>862.2+0.04-862.24</f>
    </oc>
    <nc r="S183">
      <v>862.2</v>
    </nc>
    <ndxf>
      <font>
        <sz val="14"/>
        <name val="Times New Roman"/>
        <scheme val="none"/>
      </font>
      <numFmt numFmtId="164" formatCode="#,##0.0"/>
      <fill>
        <patternFill patternType="solid">
          <bgColor theme="0"/>
        </patternFill>
      </fill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76" sId="1" xfDxf="1" dxf="1" numFmtId="4">
    <oc r="G184">
      <f>92.8-92.8</f>
    </oc>
    <nc r="G184">
      <v>92.8</v>
    </nc>
    <ndxf>
      <font>
        <sz val="14"/>
        <name val="Times New Roman"/>
        <scheme val="none"/>
      </font>
      <numFmt numFmtId="164" formatCode="#,##0.0"/>
      <fill>
        <patternFill patternType="solid">
          <bgColor theme="0"/>
        </patternFill>
      </fill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77" sId="1" xfDxf="1" dxf="1" numFmtId="4">
    <oc r="O184">
      <f>92.8-92.8</f>
    </oc>
    <nc r="O184">
      <v>92.8</v>
    </nc>
    <ndxf>
      <font>
        <sz val="14"/>
        <name val="Times New Roman"/>
        <scheme val="none"/>
      </font>
      <numFmt numFmtId="164" formatCode="#,##0.0"/>
      <fill>
        <patternFill patternType="solid">
          <bgColor theme="0"/>
        </patternFill>
      </fill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78" sId="1" xfDxf="1" dxf="1" numFmtId="4">
    <oc r="S184">
      <f>92.8-0.02-92.78</f>
    </oc>
    <nc r="S184">
      <v>92.8</v>
    </nc>
    <ndxf>
      <font>
        <sz val="14"/>
        <name val="Times New Roman"/>
        <scheme val="none"/>
      </font>
      <numFmt numFmtId="164" formatCode="#,##0.0"/>
      <fill>
        <patternFill patternType="solid">
          <bgColor theme="0"/>
        </patternFill>
      </fill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79" sId="1" xfDxf="1" dxf="1" numFmtId="4">
    <oc r="G185">
      <f>306.5-306.5</f>
    </oc>
    <nc r="G185">
      <v>306.39999999999998</v>
    </nc>
    <ndxf>
      <font>
        <sz val="14"/>
        <name val="Times New Roman"/>
        <scheme val="none"/>
      </font>
      <numFmt numFmtId="164" formatCode="#,##0.0"/>
      <fill>
        <patternFill patternType="solid">
          <bgColor theme="0"/>
        </patternFill>
      </fill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80" sId="1" numFmtId="4">
    <oc r="O185">
      <f>206.4-206.4</f>
    </oc>
    <nc r="O185">
      <v>206.36</v>
    </nc>
  </rcc>
  <rcc rId="881" sId="1" xfDxf="1" dxf="1" numFmtId="4">
    <oc r="S185">
      <f>413.9-0.01-413.89</f>
    </oc>
    <nc r="S185">
      <v>413.9</v>
    </nc>
    <ndxf>
      <font>
        <sz val="14"/>
        <name val="Times New Roman"/>
        <scheme val="none"/>
      </font>
      <numFmt numFmtId="164" formatCode="#,##0.0"/>
      <fill>
        <patternFill patternType="solid">
          <bgColor theme="0"/>
        </patternFill>
      </fill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xfDxf="1" sqref="Z9" start="0" length="0">
    <dxf>
      <font>
        <b/>
        <sz val="8"/>
        <color auto="1"/>
        <name val="Arial Cyr"/>
        <scheme val="none"/>
      </font>
      <numFmt numFmtId="4" formatCode="#,##0.00"/>
      <alignment horizontal="right" readingOrder="0"/>
      <border outline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</rfmt>
  <rcc rId="882" sId="1" xfDxf="1" dxf="1" numFmtId="4">
    <oc r="G122">
      <f>205158.3+31089.2</f>
    </oc>
    <nc r="G122">
      <v>236948.8</v>
    </nc>
    <ndxf>
      <font>
        <sz val="14"/>
        <name val="Times New Roman"/>
        <scheme val="none"/>
      </font>
      <numFmt numFmtId="164" formatCode="#,##0.0"/>
      <fill>
        <patternFill patternType="solid">
          <bgColor theme="0"/>
        </patternFill>
      </fill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xfDxf="1" sqref="Z9" start="0" length="0">
    <dxf>
      <font>
        <b/>
        <sz val="8"/>
        <color auto="1"/>
        <name val="Arial Cyr"/>
        <scheme val="none"/>
      </font>
      <numFmt numFmtId="4" formatCode="#,##0.00"/>
      <alignment horizontal="right" readingOrder="0"/>
      <border outline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</rfmt>
  <rfmt sheetId="1" sqref="Z9" start="0" length="0">
    <dxf>
      <font>
        <b val="0"/>
        <sz val="11"/>
        <color theme="1"/>
        <name val="Calibri"/>
        <scheme val="minor"/>
      </font>
      <numFmt numFmtId="0" formatCode="General"/>
      <alignment horizontal="general" vertical="bottom" readingOrder="0"/>
      <border outline="0">
        <left/>
        <right/>
        <top/>
        <bottom/>
      </border>
    </dxf>
  </rfmt>
  <rfmt sheetId="1" sqref="Z10" start="0" length="0">
    <dxf>
      <numFmt numFmtId="0" formatCode="General"/>
    </dxf>
  </rfmt>
  <rfmt sheetId="1" sqref="Z11" start="0" length="0">
    <dxf>
      <numFmt numFmtId="0" formatCode="General"/>
    </dxf>
  </rfmt>
  <rfmt sheetId="1" xfDxf="1" sqref="Z9" start="0" length="0"/>
  <rfmt sheetId="1" sqref="Z10" start="0" length="0">
    <dxf>
      <numFmt numFmtId="164" formatCode="#,##0.0"/>
    </dxf>
  </rfmt>
  <rfmt sheetId="1" sqref="Z9" start="0" length="0">
    <dxf>
      <font>
        <b/>
        <sz val="8"/>
        <color auto="1"/>
        <name val="Arial Cyr"/>
        <scheme val="none"/>
      </font>
      <numFmt numFmtId="4" formatCode="#,##0.00"/>
      <alignment horizontal="right" vertical="top" readingOrder="0"/>
      <border outline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</rfmt>
  <rfmt sheetId="1" sqref="G8">
    <dxf>
      <fill>
        <patternFill>
          <bgColor theme="6" tint="0.59999389629810485"/>
        </patternFill>
      </fill>
    </dxf>
  </rfmt>
  <rfmt sheetId="1" sqref="K8">
    <dxf>
      <fill>
        <patternFill>
          <bgColor theme="6" tint="0.59999389629810485"/>
        </patternFill>
      </fill>
    </dxf>
  </rfmt>
  <rfmt sheetId="1" xfDxf="1" sqref="Z9" start="0" length="0">
    <dxf>
      <font>
        <b/>
        <sz val="8"/>
        <color auto="1"/>
        <name val="Arial Cyr"/>
        <scheme val="none"/>
      </font>
      <numFmt numFmtId="4" formatCode="#,##0.00"/>
      <alignment horizontal="right" readingOrder="0"/>
      <border outline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</rfmt>
  <rfmt sheetId="1" sqref="O8">
    <dxf>
      <fill>
        <patternFill>
          <bgColor theme="6" tint="0.59999389629810485"/>
        </patternFill>
      </fill>
    </dxf>
  </rfmt>
  <rfmt sheetId="1" xfDxf="1" sqref="Z9" start="0" length="0">
    <dxf>
      <font>
        <b/>
        <sz val="8"/>
        <color auto="1"/>
        <name val="Arial Cyr"/>
        <scheme val="none"/>
      </font>
      <numFmt numFmtId="4" formatCode="#,##0.00"/>
      <alignment horizontal="right" readingOrder="0"/>
      <border outline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</rfmt>
  <rfmt sheetId="1" sqref="S8">
    <dxf>
      <fill>
        <patternFill>
          <bgColor theme="6" tint="0.59999389629810485"/>
        </patternFill>
      </fill>
    </dxf>
  </rfmt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Лист1!$E$12:$E$206</formula>
    <oldFormula>Лист1!$E$12:$E$206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revisionLog121111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Лист1!$E$12:$E$206</formula>
    <oldFormula>Лист1!$E$12:$E$206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revisionLog131111.xml><?xml version="1.0" encoding="utf-8"?>
<revisions xmlns="http://schemas.openxmlformats.org/spreadsheetml/2006/main" xmlns:r="http://schemas.openxmlformats.org/officeDocument/2006/relationships">
  <rfmt sheetId="1" sqref="Z9" start="0" length="0">
    <dxf>
      <font>
        <b/>
        <sz val="8"/>
        <color auto="1"/>
        <name val="Arial Cyr"/>
        <scheme val="none"/>
      </font>
      <numFmt numFmtId="4" formatCode="#,##0.00"/>
      <alignment horizontal="right" vertical="top" readingOrder="0"/>
      <border outline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</rfmt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Лист1!$E$12:$E$206</formula>
    <oldFormula>Лист1!$E$12:$E$206</oldFormula>
  </rdn>
  <rdn rId="0" localSheetId="2" customView="1" name="Z_FE09AB06_1ECE_4486_BCA1_E9D85830708B_.wvu.FilterData" hidden="1" oldHidden="1">
    <formula>Лист2!$A$12:$H$15</formula>
    <oldFormula>Лист2!$A$12:$H$15</oldFormula>
  </rdn>
  <rcv guid="{FE09AB06-1ECE-4486-BCA1-E9D85830708B}" action="add"/>
</revisions>
</file>

<file path=xl/revisions/userNames.xml><?xml version="1.0" encoding="utf-8"?>
<users xmlns="http://schemas.openxmlformats.org/spreadsheetml/2006/main" xmlns:r="http://schemas.openxmlformats.org/officeDocument/2006/relationships" count="1">
  <userInfo guid="{C664BD83-0D21-41F8-B061-153713787D85}" name="nma" id="-869774732" dateTime="2021-05-19T10:39:21"/>
</user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Y227"/>
  <sheetViews>
    <sheetView tabSelected="1" zoomScale="60" zoomScaleNormal="60" zoomScaleSheetLayoutView="75" workbookViewId="0">
      <pane xSplit="1" ySplit="7" topLeftCell="B158" activePane="bottomRight" state="frozen"/>
      <selection pane="topRight" activeCell="B1" sqref="B1"/>
      <selection pane="bottomLeft" activeCell="A8" sqref="A8"/>
      <selection pane="bottomRight" activeCell="K163" sqref="K163"/>
    </sheetView>
  </sheetViews>
  <sheetFormatPr defaultColWidth="8.85546875" defaultRowHeight="15"/>
  <cols>
    <col min="1" max="1" width="6.42578125" style="2" customWidth="1"/>
    <col min="2" max="2" width="56.42578125" style="12" customWidth="1"/>
    <col min="3" max="3" width="7.7109375" style="2" customWidth="1"/>
    <col min="4" max="4" width="38.7109375" style="2" customWidth="1"/>
    <col min="5" max="5" width="18.140625" style="2" customWidth="1"/>
    <col min="6" max="6" width="17.5703125" style="2" customWidth="1"/>
    <col min="7" max="8" width="15.85546875" style="42" customWidth="1"/>
    <col min="9" max="9" width="14.85546875" style="42" customWidth="1"/>
    <col min="10" max="10" width="15.5703125" style="42" customWidth="1"/>
    <col min="11" max="11" width="15.85546875" style="42" customWidth="1"/>
    <col min="12" max="12" width="14.85546875" style="42" customWidth="1"/>
    <col min="13" max="13" width="11.7109375" style="42" customWidth="1"/>
    <col min="14" max="14" width="16.85546875" style="2" customWidth="1"/>
    <col min="15" max="15" width="15.85546875" style="42" customWidth="1"/>
    <col min="16" max="16" width="16.85546875" style="42" customWidth="1"/>
    <col min="17" max="17" width="14.140625" style="42" customWidth="1"/>
    <col min="18" max="18" width="16.7109375" style="2" customWidth="1"/>
    <col min="19" max="19" width="16.42578125" style="42" customWidth="1"/>
    <col min="20" max="20" width="16.5703125" style="42" customWidth="1"/>
    <col min="21" max="21" width="13.42578125" style="42" customWidth="1"/>
    <col min="22" max="22" width="10.28515625" style="2" customWidth="1"/>
    <col min="26" max="26" width="19" customWidth="1"/>
    <col min="27" max="27" width="15.5703125" customWidth="1"/>
    <col min="104" max="16384" width="8.85546875" style="2"/>
  </cols>
  <sheetData>
    <row r="1" spans="1:26" ht="15" customHeight="1">
      <c r="A1" s="82" t="s">
        <v>342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</row>
    <row r="2" spans="1:26" ht="37.5" customHeight="1">
      <c r="A2" s="82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</row>
    <row r="3" spans="1:26">
      <c r="E3" s="3"/>
      <c r="G3" s="54"/>
      <c r="T3" s="49"/>
      <c r="U3" s="49" t="s">
        <v>269</v>
      </c>
    </row>
    <row r="4" spans="1:26" ht="16.5" customHeight="1">
      <c r="A4" s="83" t="s">
        <v>0</v>
      </c>
      <c r="B4" s="86" t="s">
        <v>1</v>
      </c>
      <c r="C4" s="83" t="s">
        <v>2</v>
      </c>
      <c r="D4" s="83" t="s">
        <v>3</v>
      </c>
      <c r="E4" s="83" t="s">
        <v>4</v>
      </c>
      <c r="F4" s="94" t="s">
        <v>266</v>
      </c>
      <c r="G4" s="95"/>
      <c r="H4" s="95"/>
      <c r="I4" s="96"/>
      <c r="J4" s="94" t="s">
        <v>266</v>
      </c>
      <c r="K4" s="95"/>
      <c r="L4" s="95"/>
      <c r="M4" s="96"/>
      <c r="N4" s="94" t="s">
        <v>267</v>
      </c>
      <c r="O4" s="95"/>
      <c r="P4" s="95"/>
      <c r="Q4" s="96"/>
      <c r="R4" s="97" t="s">
        <v>268</v>
      </c>
      <c r="S4" s="97"/>
      <c r="T4" s="97"/>
      <c r="U4" s="97"/>
      <c r="V4" s="99" t="s">
        <v>329</v>
      </c>
    </row>
    <row r="5" spans="1:26" ht="16.5" customHeight="1">
      <c r="A5" s="84"/>
      <c r="B5" s="87"/>
      <c r="C5" s="84"/>
      <c r="D5" s="84"/>
      <c r="E5" s="89"/>
      <c r="F5" s="91" t="s">
        <v>327</v>
      </c>
      <c r="G5" s="92"/>
      <c r="H5" s="92"/>
      <c r="I5" s="93"/>
      <c r="J5" s="91" t="s">
        <v>5</v>
      </c>
      <c r="K5" s="92"/>
      <c r="L5" s="92"/>
      <c r="M5" s="93"/>
      <c r="N5" s="91" t="s">
        <v>327</v>
      </c>
      <c r="O5" s="92"/>
      <c r="P5" s="92"/>
      <c r="Q5" s="93"/>
      <c r="R5" s="98" t="s">
        <v>327</v>
      </c>
      <c r="S5" s="98"/>
      <c r="T5" s="98"/>
      <c r="U5" s="98"/>
      <c r="V5" s="100"/>
    </row>
    <row r="6" spans="1:26" ht="82.5">
      <c r="A6" s="85"/>
      <c r="B6" s="88"/>
      <c r="C6" s="85"/>
      <c r="D6" s="85"/>
      <c r="E6" s="90"/>
      <c r="F6" s="43" t="s">
        <v>6</v>
      </c>
      <c r="G6" s="35" t="s">
        <v>7</v>
      </c>
      <c r="H6" s="35" t="s">
        <v>8</v>
      </c>
      <c r="I6" s="35" t="s">
        <v>328</v>
      </c>
      <c r="J6" s="43" t="s">
        <v>6</v>
      </c>
      <c r="K6" s="35" t="s">
        <v>7</v>
      </c>
      <c r="L6" s="35" t="s">
        <v>8</v>
      </c>
      <c r="M6" s="35" t="s">
        <v>328</v>
      </c>
      <c r="N6" s="43" t="s">
        <v>6</v>
      </c>
      <c r="O6" s="35" t="s">
        <v>7</v>
      </c>
      <c r="P6" s="35" t="s">
        <v>8</v>
      </c>
      <c r="Q6" s="35" t="s">
        <v>325</v>
      </c>
      <c r="R6" s="43" t="s">
        <v>6</v>
      </c>
      <c r="S6" s="35" t="s">
        <v>7</v>
      </c>
      <c r="T6" s="35" t="s">
        <v>8</v>
      </c>
      <c r="U6" s="35" t="s">
        <v>325</v>
      </c>
      <c r="V6" s="101"/>
    </row>
    <row r="7" spans="1:26" ht="16.5">
      <c r="A7" s="36" t="s">
        <v>9</v>
      </c>
      <c r="B7" s="13">
        <v>2</v>
      </c>
      <c r="C7" s="4">
        <v>3</v>
      </c>
      <c r="D7" s="4">
        <v>4</v>
      </c>
      <c r="E7" s="4">
        <v>5</v>
      </c>
      <c r="F7" s="43">
        <v>6</v>
      </c>
      <c r="G7" s="35">
        <v>7</v>
      </c>
      <c r="H7" s="35">
        <v>8</v>
      </c>
      <c r="I7" s="35">
        <v>9</v>
      </c>
      <c r="J7" s="43">
        <v>10</v>
      </c>
      <c r="K7" s="35">
        <v>11</v>
      </c>
      <c r="L7" s="35">
        <v>12</v>
      </c>
      <c r="M7" s="35">
        <v>13</v>
      </c>
      <c r="N7" s="43">
        <v>14</v>
      </c>
      <c r="O7" s="35">
        <v>15</v>
      </c>
      <c r="P7" s="35">
        <v>16</v>
      </c>
      <c r="Q7" s="35">
        <v>17</v>
      </c>
      <c r="R7" s="43">
        <v>18</v>
      </c>
      <c r="S7" s="35">
        <v>19</v>
      </c>
      <c r="T7" s="35">
        <v>20</v>
      </c>
      <c r="U7" s="35">
        <v>21</v>
      </c>
      <c r="V7" s="35">
        <v>22</v>
      </c>
    </row>
    <row r="8" spans="1:26" ht="19.5">
      <c r="A8" s="37"/>
      <c r="B8" s="14" t="s">
        <v>10</v>
      </c>
      <c r="C8" s="4"/>
      <c r="D8" s="4"/>
      <c r="E8" s="4"/>
      <c r="F8" s="44">
        <f>G8+H8+I8</f>
        <v>18387762</v>
      </c>
      <c r="G8" s="44">
        <f>G9+G40+G58+G93+G114+G131+G145+G159+G176+G195+G200</f>
        <v>8170822.5999999996</v>
      </c>
      <c r="H8" s="44">
        <f>H9+H40+H58+H93+H114+H131+H145+H159+H176+H195+H200</f>
        <v>9381457.5</v>
      </c>
      <c r="I8" s="44">
        <f>I9+I40+I58+I93+I114+I131+I145+I159+I176+I195+I200</f>
        <v>835481.9</v>
      </c>
      <c r="J8" s="44">
        <f>K8+L8+M8</f>
        <v>1937273.3</v>
      </c>
      <c r="K8" s="44">
        <f>K9+K40+K58+K93+K114+K131+K145+K159+K176+K195+K200</f>
        <v>1062602.7</v>
      </c>
      <c r="L8" s="44">
        <f>L9+L40+L58+L93+L114+L131+L145+L159+L176+L195+L200</f>
        <v>808724.9</v>
      </c>
      <c r="M8" s="44">
        <f>M9+M40+M58+M93+M114+M131+M145+M159+M176+M195+M200</f>
        <v>65945.7</v>
      </c>
      <c r="N8" s="44">
        <f>O8+P8+Q8</f>
        <v>10966430.800000001</v>
      </c>
      <c r="O8" s="44">
        <f>O9+O40+O58+O93+O114+O131+O145+O159+O176+O195+O200</f>
        <v>6141259.2999999998</v>
      </c>
      <c r="P8" s="44">
        <f>P9+P40+P58+P93+P114+P131+P145+P159+P176+P195+P200</f>
        <v>4685769.4000000004</v>
      </c>
      <c r="Q8" s="44">
        <f>Q9+Q40+Q58+Q93+Q114+Q131+Q145+Q159+Q176+Q195+Q200</f>
        <v>139402.1</v>
      </c>
      <c r="R8" s="44">
        <f>S8+T8+U8</f>
        <v>11760573.5</v>
      </c>
      <c r="S8" s="44">
        <f>S9+S40+S58+S93+S114+S131+S145+S159+S176+S195+S200</f>
        <v>6296603.7000000002</v>
      </c>
      <c r="T8" s="44">
        <f>T9+T40+T58+T93+T114+T131+T145+T159+T176+T195+T200</f>
        <v>5340504.5999999996</v>
      </c>
      <c r="U8" s="44">
        <f>U9+U40+U58+U93+U114+U131+U145+U159+U176+U195+U200</f>
        <v>123465.2</v>
      </c>
      <c r="V8" s="51">
        <f>J8/F8</f>
        <v>0.105</v>
      </c>
    </row>
    <row r="9" spans="1:26" ht="18.75">
      <c r="A9" s="38">
        <v>1</v>
      </c>
      <c r="B9" s="21" t="s">
        <v>11</v>
      </c>
      <c r="C9" s="1" t="s">
        <v>12</v>
      </c>
      <c r="D9" s="1" t="s">
        <v>12</v>
      </c>
      <c r="E9" s="1" t="s">
        <v>12</v>
      </c>
      <c r="F9" s="45">
        <f t="shared" ref="F9:F44" si="0">G9+H9+I9</f>
        <v>4410333</v>
      </c>
      <c r="G9" s="45">
        <f>G10+G17+G27+G35</f>
        <v>1975321</v>
      </c>
      <c r="H9" s="45">
        <f>H10+H17+H27+H35</f>
        <v>2379445.7999999998</v>
      </c>
      <c r="I9" s="45">
        <f>I10+I17+I27+I35</f>
        <v>55566.2</v>
      </c>
      <c r="J9" s="45">
        <f t="shared" ref="J9:J10" si="1">K9+L9+M9</f>
        <v>832836.4</v>
      </c>
      <c r="K9" s="45">
        <f>K10+K17+K27+K35</f>
        <v>277588.2</v>
      </c>
      <c r="L9" s="45">
        <f>L10+L17+L27+L35</f>
        <v>514476.7</v>
      </c>
      <c r="M9" s="45">
        <f>M10+M17+M27+M35</f>
        <v>40771.5</v>
      </c>
      <c r="N9" s="45">
        <f t="shared" ref="N9:N10" si="2">O9+P9+Q9</f>
        <v>2263411.2000000002</v>
      </c>
      <c r="O9" s="45">
        <f>O10+O17+O27+O35</f>
        <v>392812.9</v>
      </c>
      <c r="P9" s="45">
        <f>P10+P17+P27+P35</f>
        <v>1859038.1</v>
      </c>
      <c r="Q9" s="45">
        <f>Q10+Q17+Q27+Q35</f>
        <v>11560.2</v>
      </c>
      <c r="R9" s="45">
        <f t="shared" ref="R9:R10" si="3">S9+T9+U9</f>
        <v>1989032.1</v>
      </c>
      <c r="S9" s="45">
        <f>S10+S17+S27+S35</f>
        <v>198546.6</v>
      </c>
      <c r="T9" s="45">
        <f>T10+T17+T27+T35</f>
        <v>1779373.1</v>
      </c>
      <c r="U9" s="45">
        <f>U10+U17+U27+U35</f>
        <v>11112.4</v>
      </c>
      <c r="V9" s="52">
        <f t="shared" ref="V9:V44" si="4">J9/F9</f>
        <v>0.189</v>
      </c>
    </row>
    <row r="10" spans="1:26" ht="33">
      <c r="A10" s="33" t="s">
        <v>13</v>
      </c>
      <c r="B10" s="15" t="s">
        <v>14</v>
      </c>
      <c r="C10" s="25" t="s">
        <v>12</v>
      </c>
      <c r="D10" s="25" t="s">
        <v>12</v>
      </c>
      <c r="E10" s="25" t="s">
        <v>12</v>
      </c>
      <c r="F10" s="67">
        <f t="shared" si="0"/>
        <v>95978.3</v>
      </c>
      <c r="G10" s="68">
        <f>SUM(G12:G16)</f>
        <v>44254.1</v>
      </c>
      <c r="H10" s="68">
        <f>SUM(H12:H16)</f>
        <v>51724.2</v>
      </c>
      <c r="I10" s="68">
        <f>SUM(I12:I16)</f>
        <v>0</v>
      </c>
      <c r="J10" s="67">
        <f t="shared" si="1"/>
        <v>0</v>
      </c>
      <c r="K10" s="68">
        <f>SUM(K12:K16)</f>
        <v>0</v>
      </c>
      <c r="L10" s="68">
        <f>SUM(L12:L16)</f>
        <v>0</v>
      </c>
      <c r="M10" s="68">
        <f>SUM(M12:M16)</f>
        <v>0</v>
      </c>
      <c r="N10" s="67">
        <f t="shared" si="2"/>
        <v>289.7</v>
      </c>
      <c r="O10" s="68">
        <f>SUM(O12:O16)</f>
        <v>0</v>
      </c>
      <c r="P10" s="68">
        <f>SUM(P12:P16)</f>
        <v>289.7</v>
      </c>
      <c r="Q10" s="68">
        <f>SUM(Q12:Q16)</f>
        <v>0</v>
      </c>
      <c r="R10" s="67">
        <f t="shared" si="3"/>
        <v>289.7</v>
      </c>
      <c r="S10" s="68">
        <f>SUM(S12:S16)</f>
        <v>0</v>
      </c>
      <c r="T10" s="68">
        <f>SUM(T12:T16)</f>
        <v>289.7</v>
      </c>
      <c r="U10" s="68">
        <f>SUM(U12:U16)</f>
        <v>0</v>
      </c>
      <c r="V10" s="69">
        <f t="shared" si="4"/>
        <v>0</v>
      </c>
    </row>
    <row r="11" spans="1:26" ht="18.75">
      <c r="A11" s="33"/>
      <c r="B11" s="16" t="s">
        <v>15</v>
      </c>
      <c r="C11" s="27"/>
      <c r="D11" s="27"/>
      <c r="E11" s="27"/>
      <c r="F11" s="67"/>
      <c r="G11" s="70"/>
      <c r="H11" s="70"/>
      <c r="I11" s="70"/>
      <c r="J11" s="67"/>
      <c r="K11" s="70"/>
      <c r="L11" s="70"/>
      <c r="M11" s="70"/>
      <c r="N11" s="67"/>
      <c r="O11" s="70"/>
      <c r="P11" s="70"/>
      <c r="Q11" s="70"/>
      <c r="R11" s="67"/>
      <c r="S11" s="70"/>
      <c r="T11" s="70"/>
      <c r="U11" s="70"/>
      <c r="V11" s="71"/>
    </row>
    <row r="12" spans="1:26" ht="75.75" customHeight="1">
      <c r="A12" s="33"/>
      <c r="B12" s="17" t="s">
        <v>18</v>
      </c>
      <c r="C12" s="53">
        <v>811</v>
      </c>
      <c r="D12" s="61" t="s">
        <v>17</v>
      </c>
      <c r="E12" s="53" t="s">
        <v>244</v>
      </c>
      <c r="F12" s="67">
        <f t="shared" si="0"/>
        <v>289.60000000000002</v>
      </c>
      <c r="G12" s="70"/>
      <c r="H12" s="70">
        <v>289.60000000000002</v>
      </c>
      <c r="I12" s="70"/>
      <c r="J12" s="67">
        <f t="shared" ref="J12:J17" si="5">K12+L12+M12</f>
        <v>0</v>
      </c>
      <c r="K12" s="70"/>
      <c r="L12" s="70"/>
      <c r="M12" s="70"/>
      <c r="N12" s="67">
        <f>O12+P12+Q12</f>
        <v>289.7</v>
      </c>
      <c r="O12" s="70"/>
      <c r="P12" s="70">
        <v>289.7</v>
      </c>
      <c r="Q12" s="70"/>
      <c r="R12" s="67">
        <f>S12+T12+U12</f>
        <v>289.7</v>
      </c>
      <c r="S12" s="70"/>
      <c r="T12" s="70">
        <v>289.7</v>
      </c>
      <c r="U12" s="70"/>
      <c r="V12" s="71">
        <f t="shared" si="4"/>
        <v>0</v>
      </c>
    </row>
    <row r="13" spans="1:26" ht="38.25" customHeight="1">
      <c r="A13" s="33"/>
      <c r="B13" s="17" t="s">
        <v>300</v>
      </c>
      <c r="C13" s="53">
        <v>821</v>
      </c>
      <c r="D13" s="61" t="s">
        <v>19</v>
      </c>
      <c r="E13" s="53" t="s">
        <v>260</v>
      </c>
      <c r="F13" s="67">
        <f t="shared" si="0"/>
        <v>8.3000000000000007</v>
      </c>
      <c r="G13" s="70">
        <v>8.3000000000000007</v>
      </c>
      <c r="H13" s="70"/>
      <c r="I13" s="70"/>
      <c r="J13" s="67">
        <f t="shared" si="5"/>
        <v>0</v>
      </c>
      <c r="K13" s="70"/>
      <c r="L13" s="70"/>
      <c r="M13" s="70"/>
      <c r="N13" s="67">
        <f t="shared" ref="N13:N17" si="6">O13+P13+Q13</f>
        <v>0</v>
      </c>
      <c r="O13" s="70"/>
      <c r="P13" s="70"/>
      <c r="Q13" s="70"/>
      <c r="R13" s="67">
        <f t="shared" ref="R13:R17" si="7">S13+T13+U13</f>
        <v>0</v>
      </c>
      <c r="S13" s="70"/>
      <c r="T13" s="70"/>
      <c r="U13" s="70"/>
      <c r="V13" s="71">
        <f t="shared" si="4"/>
        <v>0</v>
      </c>
      <c r="Z13" s="57"/>
    </row>
    <row r="14" spans="1:26" ht="57" customHeight="1">
      <c r="A14" s="33"/>
      <c r="B14" s="17" t="s">
        <v>301</v>
      </c>
      <c r="C14" s="53">
        <v>821</v>
      </c>
      <c r="D14" s="61" t="s">
        <v>19</v>
      </c>
      <c r="E14" s="53" t="s">
        <v>254</v>
      </c>
      <c r="F14" s="67">
        <f t="shared" si="0"/>
        <v>37400</v>
      </c>
      <c r="G14" s="70">
        <v>37400</v>
      </c>
      <c r="H14" s="70"/>
      <c r="I14" s="70"/>
      <c r="J14" s="67">
        <f t="shared" si="5"/>
        <v>0</v>
      </c>
      <c r="K14" s="70"/>
      <c r="L14" s="70"/>
      <c r="M14" s="70"/>
      <c r="N14" s="67">
        <f t="shared" si="6"/>
        <v>0</v>
      </c>
      <c r="O14" s="70"/>
      <c r="P14" s="70"/>
      <c r="Q14" s="70"/>
      <c r="R14" s="67">
        <f t="shared" si="7"/>
        <v>0</v>
      </c>
      <c r="S14" s="70"/>
      <c r="T14" s="70"/>
      <c r="U14" s="70"/>
      <c r="V14" s="71">
        <f t="shared" si="4"/>
        <v>0</v>
      </c>
      <c r="Z14" s="57"/>
    </row>
    <row r="15" spans="1:26" ht="76.5" customHeight="1">
      <c r="A15" s="33"/>
      <c r="B15" s="17" t="s">
        <v>337</v>
      </c>
      <c r="C15" s="53">
        <v>821</v>
      </c>
      <c r="D15" s="61" t="s">
        <v>19</v>
      </c>
      <c r="E15" s="53" t="s">
        <v>336</v>
      </c>
      <c r="F15" s="67">
        <f t="shared" ref="F15" si="8">G15+H15+I15</f>
        <v>5255</v>
      </c>
      <c r="G15" s="70">
        <v>5255</v>
      </c>
      <c r="H15" s="70"/>
      <c r="I15" s="70"/>
      <c r="J15" s="67">
        <f t="shared" ref="J15" si="9">K15+L15+M15</f>
        <v>0</v>
      </c>
      <c r="K15" s="70"/>
      <c r="L15" s="70"/>
      <c r="M15" s="70"/>
      <c r="N15" s="67">
        <f t="shared" ref="N15" si="10">O15+P15+Q15</f>
        <v>0</v>
      </c>
      <c r="O15" s="70"/>
      <c r="P15" s="70"/>
      <c r="Q15" s="70"/>
      <c r="R15" s="67">
        <f t="shared" ref="R15" si="11">S15+T15+U15</f>
        <v>0</v>
      </c>
      <c r="S15" s="70"/>
      <c r="T15" s="70"/>
      <c r="U15" s="70"/>
      <c r="V15" s="71">
        <f t="shared" ref="V15" si="12">J15/F15</f>
        <v>0</v>
      </c>
      <c r="Z15" s="57"/>
    </row>
    <row r="16" spans="1:26" ht="156.75" customHeight="1">
      <c r="A16" s="33"/>
      <c r="B16" s="58" t="s">
        <v>332</v>
      </c>
      <c r="C16" s="53">
        <v>821</v>
      </c>
      <c r="D16" s="61" t="s">
        <v>19</v>
      </c>
      <c r="E16" s="53" t="s">
        <v>195</v>
      </c>
      <c r="F16" s="67">
        <f t="shared" si="0"/>
        <v>53025.4</v>
      </c>
      <c r="G16" s="70">
        <v>1590.8</v>
      </c>
      <c r="H16" s="70">
        <v>51434.6</v>
      </c>
      <c r="I16" s="70"/>
      <c r="J16" s="67">
        <f t="shared" si="5"/>
        <v>0</v>
      </c>
      <c r="K16" s="70"/>
      <c r="L16" s="70"/>
      <c r="M16" s="70"/>
      <c r="N16" s="67">
        <f t="shared" si="6"/>
        <v>0</v>
      </c>
      <c r="O16" s="70"/>
      <c r="P16" s="70"/>
      <c r="Q16" s="70"/>
      <c r="R16" s="67">
        <f t="shared" si="7"/>
        <v>0</v>
      </c>
      <c r="S16" s="70"/>
      <c r="T16" s="70"/>
      <c r="U16" s="70"/>
      <c r="V16" s="71">
        <f t="shared" si="4"/>
        <v>0</v>
      </c>
    </row>
    <row r="17" spans="1:103" ht="33">
      <c r="A17" s="36" t="s">
        <v>21</v>
      </c>
      <c r="B17" s="15" t="s">
        <v>22</v>
      </c>
      <c r="C17" s="6" t="s">
        <v>12</v>
      </c>
      <c r="D17" s="6" t="s">
        <v>12</v>
      </c>
      <c r="E17" s="6" t="s">
        <v>12</v>
      </c>
      <c r="F17" s="68">
        <f t="shared" si="0"/>
        <v>448151.5</v>
      </c>
      <c r="G17" s="68">
        <f t="shared" ref="G17:H17" si="13">SUM(G19:G26)</f>
        <v>174782</v>
      </c>
      <c r="H17" s="68">
        <f t="shared" si="13"/>
        <v>249138.5</v>
      </c>
      <c r="I17" s="68">
        <f t="shared" ref="I17" si="14">SUM(I19:I26)</f>
        <v>24231</v>
      </c>
      <c r="J17" s="68">
        <f t="shared" si="5"/>
        <v>72691</v>
      </c>
      <c r="K17" s="68">
        <f t="shared" ref="K17:M17" si="15">SUM(K19:K26)</f>
        <v>58689</v>
      </c>
      <c r="L17" s="68">
        <f t="shared" si="15"/>
        <v>1402.4</v>
      </c>
      <c r="M17" s="68">
        <f t="shared" si="15"/>
        <v>12599.6</v>
      </c>
      <c r="N17" s="67">
        <f t="shared" si="6"/>
        <v>210414.9</v>
      </c>
      <c r="O17" s="68">
        <f t="shared" ref="O17:T17" si="16">SUM(O19:O26)</f>
        <v>96642.8</v>
      </c>
      <c r="P17" s="68">
        <f t="shared" si="16"/>
        <v>102211.9</v>
      </c>
      <c r="Q17" s="68">
        <f t="shared" si="16"/>
        <v>11560.2</v>
      </c>
      <c r="R17" s="67">
        <f t="shared" si="7"/>
        <v>134852.9</v>
      </c>
      <c r="S17" s="68">
        <f t="shared" si="16"/>
        <v>94389.3</v>
      </c>
      <c r="T17" s="68">
        <f t="shared" si="16"/>
        <v>29351.200000000001</v>
      </c>
      <c r="U17" s="68">
        <f t="shared" ref="U17" si="17">SUM(U19:U26)</f>
        <v>11112.4</v>
      </c>
      <c r="V17" s="72">
        <f t="shared" si="4"/>
        <v>0.16200000000000001</v>
      </c>
    </row>
    <row r="18" spans="1:103" ht="18.75">
      <c r="A18" s="39"/>
      <c r="B18" s="26" t="s">
        <v>15</v>
      </c>
      <c r="C18" s="27"/>
      <c r="D18" s="27"/>
      <c r="E18" s="2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72"/>
    </row>
    <row r="19" spans="1:103" ht="53.25" customHeight="1">
      <c r="A19" s="39"/>
      <c r="B19" s="30" t="s">
        <v>23</v>
      </c>
      <c r="C19" s="53">
        <v>813</v>
      </c>
      <c r="D19" s="29" t="s">
        <v>24</v>
      </c>
      <c r="E19" s="53" t="s">
        <v>167</v>
      </c>
      <c r="F19" s="68">
        <f t="shared" si="0"/>
        <v>28954.2</v>
      </c>
      <c r="G19" s="70">
        <f>748.1+3578.6</f>
        <v>4326.7</v>
      </c>
      <c r="H19" s="70">
        <v>24185.3</v>
      </c>
      <c r="I19" s="70">
        <v>442.2</v>
      </c>
      <c r="J19" s="67">
        <f t="shared" ref="J19:J27" si="18">K19+L19+M19</f>
        <v>0</v>
      </c>
      <c r="K19" s="70"/>
      <c r="L19" s="70"/>
      <c r="M19" s="70">
        <v>0</v>
      </c>
      <c r="N19" s="67">
        <f t="shared" ref="N19:N27" si="19">O19+P19+Q19</f>
        <v>6331.4</v>
      </c>
      <c r="O19" s="70">
        <v>185.7</v>
      </c>
      <c r="P19" s="70">
        <v>6003.7</v>
      </c>
      <c r="Q19" s="70">
        <v>142</v>
      </c>
      <c r="R19" s="67">
        <f t="shared" ref="R19:R27" si="20">S19+T19+U19</f>
        <v>6191.1</v>
      </c>
      <c r="S19" s="70">
        <v>185.7</v>
      </c>
      <c r="T19" s="70">
        <v>6005.4</v>
      </c>
      <c r="U19" s="70"/>
      <c r="V19" s="71">
        <f t="shared" si="4"/>
        <v>0</v>
      </c>
    </row>
    <row r="20" spans="1:103" ht="39" customHeight="1">
      <c r="A20" s="39"/>
      <c r="B20" s="30" t="s">
        <v>135</v>
      </c>
      <c r="C20" s="53">
        <v>821</v>
      </c>
      <c r="D20" s="29" t="s">
        <v>19</v>
      </c>
      <c r="E20" s="53" t="s">
        <v>236</v>
      </c>
      <c r="F20" s="68">
        <f t="shared" si="0"/>
        <v>41195.4</v>
      </c>
      <c r="G20" s="70">
        <v>35000</v>
      </c>
      <c r="H20" s="70"/>
      <c r="I20" s="70">
        <v>6195.4</v>
      </c>
      <c r="J20" s="67">
        <f t="shared" si="18"/>
        <v>20482</v>
      </c>
      <c r="K20" s="70">
        <v>14631.2</v>
      </c>
      <c r="L20" s="70"/>
      <c r="M20" s="70">
        <v>5850.8</v>
      </c>
      <c r="N20" s="67">
        <f t="shared" si="19"/>
        <v>0</v>
      </c>
      <c r="O20" s="70"/>
      <c r="P20" s="70"/>
      <c r="Q20" s="70"/>
      <c r="R20" s="67">
        <f t="shared" si="20"/>
        <v>0</v>
      </c>
      <c r="S20" s="70"/>
      <c r="T20" s="70"/>
      <c r="U20" s="70"/>
      <c r="V20" s="71">
        <f t="shared" si="4"/>
        <v>0.497</v>
      </c>
    </row>
    <row r="21" spans="1:103" ht="78" customHeight="1">
      <c r="A21" s="39"/>
      <c r="B21" s="30" t="s">
        <v>218</v>
      </c>
      <c r="C21" s="53">
        <v>813</v>
      </c>
      <c r="D21" s="61" t="s">
        <v>24</v>
      </c>
      <c r="E21" s="53" t="s">
        <v>217</v>
      </c>
      <c r="F21" s="68">
        <f t="shared" si="0"/>
        <v>47368.4</v>
      </c>
      <c r="G21" s="70">
        <v>45000</v>
      </c>
      <c r="H21" s="70"/>
      <c r="I21" s="70">
        <v>2368.4</v>
      </c>
      <c r="J21" s="67">
        <f t="shared" si="18"/>
        <v>14758.1</v>
      </c>
      <c r="K21" s="70">
        <f>11508.6+2660</f>
        <v>14168.6</v>
      </c>
      <c r="L21" s="70"/>
      <c r="M21" s="70">
        <v>589.5</v>
      </c>
      <c r="N21" s="67">
        <f t="shared" si="19"/>
        <v>10478.700000000001</v>
      </c>
      <c r="O21" s="70">
        <v>10000</v>
      </c>
      <c r="P21" s="70"/>
      <c r="Q21" s="70">
        <v>478.7</v>
      </c>
      <c r="R21" s="67">
        <f t="shared" si="20"/>
        <v>10478.700000000001</v>
      </c>
      <c r="S21" s="70">
        <v>10000</v>
      </c>
      <c r="T21" s="70"/>
      <c r="U21" s="70">
        <v>478.7</v>
      </c>
      <c r="V21" s="71">
        <f t="shared" si="4"/>
        <v>0.312</v>
      </c>
    </row>
    <row r="22" spans="1:103" ht="118.5" customHeight="1">
      <c r="A22" s="39"/>
      <c r="B22" s="30" t="s">
        <v>25</v>
      </c>
      <c r="C22" s="53">
        <v>813</v>
      </c>
      <c r="D22" s="61" t="s">
        <v>24</v>
      </c>
      <c r="E22" s="53" t="s">
        <v>220</v>
      </c>
      <c r="F22" s="68">
        <f t="shared" si="0"/>
        <v>10024</v>
      </c>
      <c r="G22" s="70">
        <v>9000</v>
      </c>
      <c r="H22" s="70"/>
      <c r="I22" s="70">
        <v>1024</v>
      </c>
      <c r="J22" s="67">
        <f t="shared" si="18"/>
        <v>1869</v>
      </c>
      <c r="K22" s="70">
        <v>1800</v>
      </c>
      <c r="L22" s="70"/>
      <c r="M22" s="70">
        <v>69</v>
      </c>
      <c r="N22" s="67">
        <f t="shared" si="19"/>
        <v>9499</v>
      </c>
      <c r="O22" s="70">
        <v>9000</v>
      </c>
      <c r="P22" s="70"/>
      <c r="Q22" s="70">
        <v>499</v>
      </c>
      <c r="R22" s="67">
        <f t="shared" si="20"/>
        <v>9439</v>
      </c>
      <c r="S22" s="70">
        <v>9000</v>
      </c>
      <c r="T22" s="70"/>
      <c r="U22" s="70">
        <v>439</v>
      </c>
      <c r="V22" s="71">
        <f t="shared" si="4"/>
        <v>0.186</v>
      </c>
    </row>
    <row r="23" spans="1:103" ht="49.5">
      <c r="A23" s="39"/>
      <c r="B23" s="30" t="s">
        <v>26</v>
      </c>
      <c r="C23" s="53">
        <v>813</v>
      </c>
      <c r="D23" s="29" t="s">
        <v>24</v>
      </c>
      <c r="E23" s="53" t="s">
        <v>219</v>
      </c>
      <c r="F23" s="68">
        <f t="shared" si="0"/>
        <v>83416</v>
      </c>
      <c r="G23" s="70">
        <v>71646.899999999994</v>
      </c>
      <c r="H23" s="70"/>
      <c r="I23" s="70">
        <v>11769.1</v>
      </c>
      <c r="J23" s="67">
        <f t="shared" si="18"/>
        <v>33235.5</v>
      </c>
      <c r="K23" s="70">
        <f>17258.3+9957.3</f>
        <v>27215.599999999999</v>
      </c>
      <c r="L23" s="70"/>
      <c r="M23" s="70">
        <v>6019.9</v>
      </c>
      <c r="N23" s="67">
        <f t="shared" si="19"/>
        <v>81517.3</v>
      </c>
      <c r="O23" s="70">
        <v>71646.899999999994</v>
      </c>
      <c r="P23" s="70"/>
      <c r="Q23" s="70">
        <v>9870.4</v>
      </c>
      <c r="R23" s="67">
        <f t="shared" si="20"/>
        <v>81661.899999999994</v>
      </c>
      <c r="S23" s="70">
        <v>71646.899999999994</v>
      </c>
      <c r="T23" s="70"/>
      <c r="U23" s="70">
        <v>10015</v>
      </c>
      <c r="V23" s="71">
        <f t="shared" si="4"/>
        <v>0.39800000000000002</v>
      </c>
    </row>
    <row r="24" spans="1:103" ht="87.75" customHeight="1">
      <c r="A24" s="39"/>
      <c r="B24" s="30" t="s">
        <v>163</v>
      </c>
      <c r="C24" s="53">
        <v>813</v>
      </c>
      <c r="D24" s="61" t="s">
        <v>24</v>
      </c>
      <c r="E24" s="53" t="s">
        <v>164</v>
      </c>
      <c r="F24" s="68">
        <f t="shared" si="0"/>
        <v>8039.5</v>
      </c>
      <c r="G24" s="70">
        <v>3000</v>
      </c>
      <c r="H24" s="70">
        <v>4815.6000000000004</v>
      </c>
      <c r="I24" s="70">
        <v>223.9</v>
      </c>
      <c r="J24" s="67">
        <f t="shared" si="18"/>
        <v>2346.4</v>
      </c>
      <c r="K24" s="70">
        <v>873.6</v>
      </c>
      <c r="L24" s="70">
        <v>1402.4</v>
      </c>
      <c r="M24" s="70">
        <v>70.400000000000006</v>
      </c>
      <c r="N24" s="67">
        <f t="shared" si="19"/>
        <v>8529.2000000000007</v>
      </c>
      <c r="O24" s="70">
        <v>3000</v>
      </c>
      <c r="P24" s="70">
        <v>5345.8</v>
      </c>
      <c r="Q24" s="70">
        <v>183.4</v>
      </c>
      <c r="R24" s="67">
        <f t="shared" si="20"/>
        <v>8525.5</v>
      </c>
      <c r="S24" s="70">
        <v>3000</v>
      </c>
      <c r="T24" s="70">
        <v>5345.8</v>
      </c>
      <c r="U24" s="70">
        <v>179.7</v>
      </c>
      <c r="V24" s="71">
        <f t="shared" si="4"/>
        <v>0.29199999999999998</v>
      </c>
    </row>
    <row r="25" spans="1:103" ht="75" customHeight="1">
      <c r="A25" s="39"/>
      <c r="B25" s="30" t="s">
        <v>165</v>
      </c>
      <c r="C25" s="53">
        <v>821</v>
      </c>
      <c r="D25" s="61" t="s">
        <v>19</v>
      </c>
      <c r="E25" s="53" t="s">
        <v>166</v>
      </c>
      <c r="F25" s="68">
        <f t="shared" si="0"/>
        <v>184027</v>
      </c>
      <c r="G25" s="70">
        <v>5478.5</v>
      </c>
      <c r="H25" s="70">
        <v>177137.6</v>
      </c>
      <c r="I25" s="70">
        <v>1410.9</v>
      </c>
      <c r="J25" s="67">
        <f t="shared" si="18"/>
        <v>0</v>
      </c>
      <c r="K25" s="70"/>
      <c r="L25" s="70"/>
      <c r="M25" s="70">
        <v>0</v>
      </c>
      <c r="N25" s="67">
        <f t="shared" si="19"/>
        <v>75502.600000000006</v>
      </c>
      <c r="O25" s="70">
        <v>2253.5</v>
      </c>
      <c r="P25" s="70">
        <v>72862.399999999994</v>
      </c>
      <c r="Q25" s="70">
        <v>386.7</v>
      </c>
      <c r="R25" s="67">
        <f t="shared" si="20"/>
        <v>0</v>
      </c>
      <c r="S25" s="70"/>
      <c r="T25" s="70"/>
      <c r="U25" s="70">
        <v>0</v>
      </c>
      <c r="V25" s="71">
        <f t="shared" si="4"/>
        <v>0</v>
      </c>
    </row>
    <row r="26" spans="1:103" ht="65.25" customHeight="1">
      <c r="A26" s="39"/>
      <c r="B26" s="30" t="s">
        <v>168</v>
      </c>
      <c r="C26" s="53">
        <v>813</v>
      </c>
      <c r="D26" s="61" t="s">
        <v>24</v>
      </c>
      <c r="E26" s="53" t="s">
        <v>169</v>
      </c>
      <c r="F26" s="68">
        <f t="shared" si="0"/>
        <v>45127</v>
      </c>
      <c r="G26" s="70">
        <v>1329.9</v>
      </c>
      <c r="H26" s="70">
        <v>43000</v>
      </c>
      <c r="I26" s="70">
        <v>797.1</v>
      </c>
      <c r="J26" s="67">
        <f t="shared" si="18"/>
        <v>0</v>
      </c>
      <c r="K26" s="70"/>
      <c r="L26" s="70"/>
      <c r="M26" s="70"/>
      <c r="N26" s="67">
        <f t="shared" si="19"/>
        <v>18556.7</v>
      </c>
      <c r="O26" s="70">
        <v>556.70000000000005</v>
      </c>
      <c r="P26" s="70">
        <v>18000</v>
      </c>
      <c r="Q26" s="70"/>
      <c r="R26" s="67">
        <f t="shared" si="20"/>
        <v>18556.7</v>
      </c>
      <c r="S26" s="70">
        <v>556.70000000000005</v>
      </c>
      <c r="T26" s="70">
        <v>18000</v>
      </c>
      <c r="U26" s="70"/>
      <c r="V26" s="71">
        <f t="shared" si="4"/>
        <v>0</v>
      </c>
    </row>
    <row r="27" spans="1:103" ht="33">
      <c r="A27" s="36" t="s">
        <v>27</v>
      </c>
      <c r="B27" s="15" t="s">
        <v>323</v>
      </c>
      <c r="C27" s="6" t="s">
        <v>12</v>
      </c>
      <c r="D27" s="6" t="s">
        <v>12</v>
      </c>
      <c r="E27" s="6" t="s">
        <v>12</v>
      </c>
      <c r="F27" s="68">
        <f t="shared" si="0"/>
        <v>2091506.4</v>
      </c>
      <c r="G27" s="68">
        <f>SUM(G29:G34)</f>
        <v>1223877.7</v>
      </c>
      <c r="H27" s="68">
        <f>SUM(H29:H34)</f>
        <v>836293.5</v>
      </c>
      <c r="I27" s="68">
        <f>SUM(I29:I34)</f>
        <v>31335.200000000001</v>
      </c>
      <c r="J27" s="67">
        <f t="shared" si="18"/>
        <v>125504.4</v>
      </c>
      <c r="K27" s="68">
        <f>SUM(K29:K34)</f>
        <v>48749.5</v>
      </c>
      <c r="L27" s="68">
        <f>SUM(L29:L34)</f>
        <v>48583</v>
      </c>
      <c r="M27" s="68">
        <f>SUM(M29:M34)</f>
        <v>28171.9</v>
      </c>
      <c r="N27" s="67">
        <f t="shared" si="19"/>
        <v>16787</v>
      </c>
      <c r="O27" s="68">
        <f>SUM(O29:O34)</f>
        <v>503.6</v>
      </c>
      <c r="P27" s="68">
        <f>SUM(P29:P34)</f>
        <v>16283.4</v>
      </c>
      <c r="Q27" s="68">
        <f>SUM(Q29:Q34)</f>
        <v>0</v>
      </c>
      <c r="R27" s="67">
        <f t="shared" si="20"/>
        <v>9202</v>
      </c>
      <c r="S27" s="68">
        <f>SUM(S29:S34)</f>
        <v>276.10000000000002</v>
      </c>
      <c r="T27" s="68">
        <f>SUM(T29:T34)</f>
        <v>8925.9</v>
      </c>
      <c r="U27" s="68">
        <f>SUM(U29:U34)</f>
        <v>0</v>
      </c>
      <c r="V27" s="69">
        <f t="shared" si="4"/>
        <v>0.06</v>
      </c>
    </row>
    <row r="28" spans="1:103" ht="18.75">
      <c r="A28" s="33"/>
      <c r="B28" s="26" t="s">
        <v>15</v>
      </c>
      <c r="C28" s="27"/>
      <c r="D28" s="27"/>
      <c r="E28" s="27"/>
      <c r="F28" s="68"/>
      <c r="G28" s="68"/>
      <c r="H28" s="68"/>
      <c r="I28" s="68"/>
      <c r="J28" s="67"/>
      <c r="K28" s="68"/>
      <c r="L28" s="68"/>
      <c r="M28" s="68"/>
      <c r="N28" s="67"/>
      <c r="O28" s="68"/>
      <c r="P28" s="68"/>
      <c r="Q28" s="68"/>
      <c r="R28" s="67"/>
      <c r="S28" s="68"/>
      <c r="T28" s="68"/>
      <c r="U28" s="68"/>
      <c r="V28" s="69"/>
    </row>
    <row r="29" spans="1:103" ht="60" customHeight="1">
      <c r="A29" s="33"/>
      <c r="B29" s="30" t="s">
        <v>263</v>
      </c>
      <c r="C29" s="53">
        <v>815</v>
      </c>
      <c r="D29" s="61" t="s">
        <v>50</v>
      </c>
      <c r="E29" s="53" t="s">
        <v>262</v>
      </c>
      <c r="F29" s="68">
        <f t="shared" si="0"/>
        <v>18686</v>
      </c>
      <c r="G29" s="70">
        <v>9055</v>
      </c>
      <c r="H29" s="70"/>
      <c r="I29" s="70">
        <v>9631</v>
      </c>
      <c r="J29" s="67">
        <f t="shared" ref="J29:J35" si="21">K29+L29+M29</f>
        <v>8966.2000000000007</v>
      </c>
      <c r="K29" s="70"/>
      <c r="L29" s="70"/>
      <c r="M29" s="70">
        <v>8966.2000000000007</v>
      </c>
      <c r="N29" s="67">
        <f t="shared" ref="N29:N35" si="22">O29+P29+Q29</f>
        <v>0</v>
      </c>
      <c r="O29" s="70"/>
      <c r="P29" s="70"/>
      <c r="Q29" s="70"/>
      <c r="R29" s="67">
        <f t="shared" ref="R29:R35" si="23">S29+T29+U29</f>
        <v>0</v>
      </c>
      <c r="S29" s="70"/>
      <c r="T29" s="70"/>
      <c r="U29" s="70"/>
      <c r="V29" s="71">
        <f t="shared" si="4"/>
        <v>0.48</v>
      </c>
    </row>
    <row r="30" spans="1:103" ht="60" customHeight="1">
      <c r="A30" s="33"/>
      <c r="B30" s="30" t="s">
        <v>341</v>
      </c>
      <c r="C30" s="53">
        <v>815</v>
      </c>
      <c r="D30" s="61" t="s">
        <v>50</v>
      </c>
      <c r="E30" s="53" t="s">
        <v>340</v>
      </c>
      <c r="F30" s="68">
        <f t="shared" ref="F30" si="24">G30+H30+I30</f>
        <v>19685.599999999999</v>
      </c>
      <c r="G30" s="70"/>
      <c r="H30" s="70"/>
      <c r="I30" s="70">
        <v>19685.599999999999</v>
      </c>
      <c r="J30" s="67">
        <f t="shared" ref="J30" si="25">K30+L30+M30</f>
        <v>19108.3</v>
      </c>
      <c r="K30" s="70"/>
      <c r="L30" s="70"/>
      <c r="M30" s="70">
        <v>19108.3</v>
      </c>
      <c r="N30" s="67">
        <f t="shared" ref="N30" si="26">O30+P30+Q30</f>
        <v>0</v>
      </c>
      <c r="O30" s="70"/>
      <c r="P30" s="70"/>
      <c r="Q30" s="70"/>
      <c r="R30" s="67">
        <f t="shared" ref="R30" si="27">S30+T30+U30</f>
        <v>0</v>
      </c>
      <c r="S30" s="70"/>
      <c r="T30" s="70"/>
      <c r="U30" s="70"/>
      <c r="V30" s="71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6"/>
      <c r="AP30" s="56"/>
      <c r="AQ30" s="56"/>
      <c r="AR30" s="56"/>
      <c r="AS30" s="56"/>
      <c r="AT30" s="56"/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6"/>
      <c r="BH30" s="56"/>
      <c r="BI30" s="56"/>
      <c r="BJ30" s="56"/>
      <c r="BK30" s="56"/>
      <c r="BL30" s="56"/>
      <c r="BM30" s="56"/>
      <c r="BN30" s="56"/>
      <c r="BO30" s="56"/>
      <c r="BP30" s="56"/>
      <c r="BQ30" s="56"/>
      <c r="BR30" s="56"/>
      <c r="BS30" s="56"/>
      <c r="BT30" s="56"/>
      <c r="BU30" s="56"/>
      <c r="BV30" s="56"/>
      <c r="BW30" s="56"/>
      <c r="BX30" s="56"/>
      <c r="BY30" s="56"/>
      <c r="BZ30" s="56"/>
      <c r="CA30" s="56"/>
      <c r="CB30" s="56"/>
      <c r="CC30" s="56"/>
      <c r="CD30" s="56"/>
      <c r="CE30" s="56"/>
      <c r="CF30" s="56"/>
      <c r="CG30" s="56"/>
      <c r="CH30" s="56"/>
      <c r="CI30" s="56"/>
      <c r="CJ30" s="56"/>
      <c r="CK30" s="56"/>
      <c r="CL30" s="56"/>
      <c r="CM30" s="56"/>
      <c r="CN30" s="56"/>
      <c r="CO30" s="56"/>
      <c r="CP30" s="56"/>
      <c r="CQ30" s="56"/>
      <c r="CR30" s="56"/>
      <c r="CS30" s="56"/>
      <c r="CT30" s="56"/>
      <c r="CU30" s="56"/>
      <c r="CV30" s="56"/>
      <c r="CW30" s="56"/>
      <c r="CX30" s="56"/>
      <c r="CY30" s="56"/>
    </row>
    <row r="31" spans="1:103" ht="150" customHeight="1">
      <c r="A31" s="33"/>
      <c r="B31" s="59" t="s">
        <v>184</v>
      </c>
      <c r="C31" s="53">
        <v>815</v>
      </c>
      <c r="D31" s="61" t="s">
        <v>50</v>
      </c>
      <c r="E31" s="53" t="s">
        <v>185</v>
      </c>
      <c r="F31" s="68">
        <f t="shared" si="0"/>
        <v>24680</v>
      </c>
      <c r="G31" s="70">
        <v>740.4</v>
      </c>
      <c r="H31" s="70">
        <v>23939.599999999999</v>
      </c>
      <c r="I31" s="70">
        <v>0</v>
      </c>
      <c r="J31" s="67">
        <f t="shared" si="21"/>
        <v>0</v>
      </c>
      <c r="K31" s="70"/>
      <c r="L31" s="70"/>
      <c r="M31" s="70">
        <v>0</v>
      </c>
      <c r="N31" s="67">
        <f t="shared" si="22"/>
        <v>6787</v>
      </c>
      <c r="O31" s="70">
        <v>203.6</v>
      </c>
      <c r="P31" s="70">
        <v>6583.4</v>
      </c>
      <c r="Q31" s="70"/>
      <c r="R31" s="67">
        <f t="shared" si="23"/>
        <v>3702</v>
      </c>
      <c r="S31" s="70">
        <v>111.1</v>
      </c>
      <c r="T31" s="70">
        <v>3590.9</v>
      </c>
      <c r="U31" s="70"/>
      <c r="V31" s="71">
        <f t="shared" si="4"/>
        <v>0</v>
      </c>
    </row>
    <row r="32" spans="1:103" ht="93" customHeight="1">
      <c r="A32" s="33"/>
      <c r="B32" s="30" t="s">
        <v>28</v>
      </c>
      <c r="C32" s="53">
        <v>821</v>
      </c>
      <c r="D32" s="61" t="s">
        <v>19</v>
      </c>
      <c r="E32" s="53" t="s">
        <v>183</v>
      </c>
      <c r="F32" s="68">
        <f t="shared" si="0"/>
        <v>1737494.3</v>
      </c>
      <c r="G32" s="70">
        <v>933102.8</v>
      </c>
      <c r="H32" s="70">
        <v>802653.9</v>
      </c>
      <c r="I32" s="70">
        <v>1737.6</v>
      </c>
      <c r="J32" s="67">
        <f t="shared" si="21"/>
        <v>97369</v>
      </c>
      <c r="K32" s="70">
        <v>48747.7</v>
      </c>
      <c r="L32" s="70">
        <v>48523.9</v>
      </c>
      <c r="M32" s="70">
        <v>97.4</v>
      </c>
      <c r="N32" s="67">
        <f t="shared" si="22"/>
        <v>0</v>
      </c>
      <c r="O32" s="70"/>
      <c r="P32" s="70"/>
      <c r="Q32" s="70"/>
      <c r="R32" s="67">
        <f t="shared" si="23"/>
        <v>0</v>
      </c>
      <c r="S32" s="70"/>
      <c r="T32" s="70"/>
      <c r="U32" s="70"/>
      <c r="V32" s="71">
        <f t="shared" si="4"/>
        <v>5.6000000000000001E-2</v>
      </c>
    </row>
    <row r="33" spans="1:103" ht="89.25" customHeight="1">
      <c r="A33" s="33"/>
      <c r="B33" s="30" t="s">
        <v>28</v>
      </c>
      <c r="C33" s="53">
        <v>821</v>
      </c>
      <c r="D33" s="61" t="s">
        <v>19</v>
      </c>
      <c r="E33" s="53" t="s">
        <v>330</v>
      </c>
      <c r="F33" s="68">
        <f t="shared" si="0"/>
        <v>280960.5</v>
      </c>
      <c r="G33" s="70">
        <v>280679.5</v>
      </c>
      <c r="H33" s="70"/>
      <c r="I33" s="70">
        <v>281</v>
      </c>
      <c r="J33" s="67"/>
      <c r="K33" s="70"/>
      <c r="L33" s="70"/>
      <c r="M33" s="70"/>
      <c r="N33" s="67"/>
      <c r="O33" s="70"/>
      <c r="P33" s="70"/>
      <c r="Q33" s="70"/>
      <c r="R33" s="67"/>
      <c r="S33" s="70"/>
      <c r="T33" s="70"/>
      <c r="U33" s="70"/>
      <c r="V33" s="71"/>
    </row>
    <row r="34" spans="1:103" ht="33">
      <c r="A34" s="33"/>
      <c r="B34" s="30" t="s">
        <v>146</v>
      </c>
      <c r="C34" s="53">
        <v>839</v>
      </c>
      <c r="D34" s="29" t="s">
        <v>16</v>
      </c>
      <c r="E34" s="53" t="s">
        <v>281</v>
      </c>
      <c r="F34" s="67">
        <f t="shared" si="0"/>
        <v>10000</v>
      </c>
      <c r="G34" s="70">
        <v>300</v>
      </c>
      <c r="H34" s="70">
        <v>9700</v>
      </c>
      <c r="I34" s="70"/>
      <c r="J34" s="67">
        <f t="shared" si="21"/>
        <v>60.9</v>
      </c>
      <c r="K34" s="70">
        <v>1.8</v>
      </c>
      <c r="L34" s="70">
        <v>59.1</v>
      </c>
      <c r="M34" s="70"/>
      <c r="N34" s="67">
        <f t="shared" si="22"/>
        <v>10000</v>
      </c>
      <c r="O34" s="70">
        <v>300</v>
      </c>
      <c r="P34" s="70">
        <v>9700</v>
      </c>
      <c r="Q34" s="70"/>
      <c r="R34" s="67">
        <f t="shared" si="23"/>
        <v>5500</v>
      </c>
      <c r="S34" s="70">
        <v>165</v>
      </c>
      <c r="T34" s="70">
        <v>5335</v>
      </c>
      <c r="U34" s="70"/>
      <c r="V34" s="71">
        <f t="shared" si="4"/>
        <v>6.0000000000000001E-3</v>
      </c>
    </row>
    <row r="35" spans="1:103" ht="33">
      <c r="A35" s="36" t="s">
        <v>29</v>
      </c>
      <c r="B35" s="15" t="s">
        <v>30</v>
      </c>
      <c r="C35" s="6" t="s">
        <v>12</v>
      </c>
      <c r="D35" s="6" t="s">
        <v>12</v>
      </c>
      <c r="E35" s="6" t="s">
        <v>12</v>
      </c>
      <c r="F35" s="68">
        <f t="shared" si="0"/>
        <v>1774696.8</v>
      </c>
      <c r="G35" s="68">
        <f>SUM(G37:G39)</f>
        <v>532407.19999999995</v>
      </c>
      <c r="H35" s="68">
        <f t="shared" ref="H35" si="28">SUM(H37:H39)</f>
        <v>1242289.6000000001</v>
      </c>
      <c r="I35" s="68">
        <f t="shared" ref="I35" si="29">SUM(I37:I39)</f>
        <v>0</v>
      </c>
      <c r="J35" s="67">
        <f t="shared" si="21"/>
        <v>634641</v>
      </c>
      <c r="K35" s="68">
        <f t="shared" ref="K35:M35" si="30">SUM(K37:K39)</f>
        <v>170149.7</v>
      </c>
      <c r="L35" s="68">
        <f t="shared" si="30"/>
        <v>464491.3</v>
      </c>
      <c r="M35" s="68">
        <f t="shared" si="30"/>
        <v>0</v>
      </c>
      <c r="N35" s="67">
        <f t="shared" si="22"/>
        <v>2035919.6</v>
      </c>
      <c r="O35" s="68">
        <f t="shared" ref="O35:T35" si="31">SUM(O37:O39)</f>
        <v>295666.5</v>
      </c>
      <c r="P35" s="68">
        <f t="shared" si="31"/>
        <v>1740253.1</v>
      </c>
      <c r="Q35" s="68">
        <f t="shared" si="31"/>
        <v>0</v>
      </c>
      <c r="R35" s="67">
        <f t="shared" si="23"/>
        <v>1844687.5</v>
      </c>
      <c r="S35" s="68">
        <f t="shared" si="31"/>
        <v>103881.2</v>
      </c>
      <c r="T35" s="68">
        <f t="shared" si="31"/>
        <v>1740806.3</v>
      </c>
      <c r="U35" s="68">
        <f t="shared" ref="U35" si="32">SUM(U37:U39)</f>
        <v>0</v>
      </c>
      <c r="V35" s="69">
        <f t="shared" si="4"/>
        <v>0.35799999999999998</v>
      </c>
    </row>
    <row r="36" spans="1:103" ht="18.75">
      <c r="A36" s="33"/>
      <c r="B36" s="26" t="s">
        <v>15</v>
      </c>
      <c r="C36" s="27"/>
      <c r="D36" s="29"/>
      <c r="E36" s="27"/>
      <c r="F36" s="68"/>
      <c r="G36" s="68"/>
      <c r="H36" s="68"/>
      <c r="I36" s="68"/>
      <c r="J36" s="67"/>
      <c r="K36" s="68"/>
      <c r="L36" s="68"/>
      <c r="M36" s="68"/>
      <c r="N36" s="67"/>
      <c r="O36" s="68"/>
      <c r="P36" s="68"/>
      <c r="Q36" s="68"/>
      <c r="R36" s="67"/>
      <c r="S36" s="68"/>
      <c r="T36" s="68"/>
      <c r="U36" s="68"/>
      <c r="V36" s="69"/>
    </row>
    <row r="37" spans="1:103" ht="40.5" customHeight="1">
      <c r="A37" s="33"/>
      <c r="B37" s="30" t="s">
        <v>31</v>
      </c>
      <c r="C37" s="53">
        <v>809</v>
      </c>
      <c r="D37" s="61" t="s">
        <v>20</v>
      </c>
      <c r="E37" s="53" t="s">
        <v>194</v>
      </c>
      <c r="F37" s="68">
        <f t="shared" si="0"/>
        <v>1025023.9</v>
      </c>
      <c r="G37" s="70"/>
      <c r="H37" s="70">
        <v>1025023.9</v>
      </c>
      <c r="I37" s="70"/>
      <c r="J37" s="67">
        <f t="shared" ref="J37:J39" si="33">K37+L37+M37</f>
        <v>387751.8</v>
      </c>
      <c r="K37" s="70"/>
      <c r="L37" s="70">
        <f>290106.3+97645.5</f>
        <v>387751.8</v>
      </c>
      <c r="M37" s="70"/>
      <c r="N37" s="67">
        <f t="shared" ref="N37:N39" si="34">O37+P37+Q37</f>
        <v>1036285.9</v>
      </c>
      <c r="O37" s="70"/>
      <c r="P37" s="70">
        <v>1036285.9</v>
      </c>
      <c r="Q37" s="70"/>
      <c r="R37" s="67">
        <f t="shared" ref="R37:R39" si="35">S37+T37+U37</f>
        <v>1045601.6</v>
      </c>
      <c r="S37" s="70"/>
      <c r="T37" s="70">
        <v>1045601.6</v>
      </c>
      <c r="U37" s="70"/>
      <c r="V37" s="71">
        <f t="shared" si="4"/>
        <v>0.378</v>
      </c>
    </row>
    <row r="38" spans="1:103" ht="87" customHeight="1">
      <c r="A38" s="33"/>
      <c r="B38" s="30" t="s">
        <v>299</v>
      </c>
      <c r="C38" s="53">
        <v>809</v>
      </c>
      <c r="D38" s="61" t="s">
        <v>20</v>
      </c>
      <c r="E38" s="53" t="s">
        <v>215</v>
      </c>
      <c r="F38" s="68">
        <f t="shared" si="0"/>
        <v>487907</v>
      </c>
      <c r="G38" s="70">
        <v>487907</v>
      </c>
      <c r="H38" s="70"/>
      <c r="I38" s="70"/>
      <c r="J38" s="67">
        <f t="shared" si="33"/>
        <v>154432</v>
      </c>
      <c r="K38" s="70">
        <v>154432</v>
      </c>
      <c r="L38" s="70"/>
      <c r="M38" s="70"/>
      <c r="N38" s="67">
        <f t="shared" si="34"/>
        <v>190476</v>
      </c>
      <c r="O38" s="70">
        <v>190476</v>
      </c>
      <c r="P38" s="70"/>
      <c r="Q38" s="70"/>
      <c r="R38" s="67">
        <f t="shared" si="35"/>
        <v>0</v>
      </c>
      <c r="S38" s="70"/>
      <c r="T38" s="70"/>
      <c r="U38" s="70"/>
      <c r="V38" s="71">
        <f t="shared" si="4"/>
        <v>0.317</v>
      </c>
    </row>
    <row r="39" spans="1:103" ht="77.25" customHeight="1">
      <c r="A39" s="33"/>
      <c r="B39" s="30" t="s">
        <v>32</v>
      </c>
      <c r="C39" s="53">
        <v>809</v>
      </c>
      <c r="D39" s="61" t="s">
        <v>20</v>
      </c>
      <c r="E39" s="53" t="s">
        <v>193</v>
      </c>
      <c r="F39" s="68">
        <f t="shared" si="0"/>
        <v>261765.9</v>
      </c>
      <c r="G39" s="70">
        <v>44500.2</v>
      </c>
      <c r="H39" s="70">
        <v>217265.7</v>
      </c>
      <c r="I39" s="70"/>
      <c r="J39" s="67">
        <f t="shared" si="33"/>
        <v>92457.2</v>
      </c>
      <c r="K39" s="70">
        <v>15717.7</v>
      </c>
      <c r="L39" s="70">
        <v>76739.5</v>
      </c>
      <c r="M39" s="70"/>
      <c r="N39" s="67">
        <f t="shared" si="34"/>
        <v>809157.7</v>
      </c>
      <c r="O39" s="70">
        <v>105190.5</v>
      </c>
      <c r="P39" s="70">
        <v>703967.2</v>
      </c>
      <c r="Q39" s="70"/>
      <c r="R39" s="67">
        <f t="shared" si="35"/>
        <v>799085.9</v>
      </c>
      <c r="S39" s="70">
        <v>103881.2</v>
      </c>
      <c r="T39" s="70">
        <v>695204.7</v>
      </c>
      <c r="U39" s="70"/>
      <c r="V39" s="71">
        <f t="shared" si="4"/>
        <v>0.35299999999999998</v>
      </c>
    </row>
    <row r="40" spans="1:103" ht="24" customHeight="1">
      <c r="A40" s="40" t="s">
        <v>33</v>
      </c>
      <c r="B40" s="47" t="s">
        <v>34</v>
      </c>
      <c r="C40" s="1" t="s">
        <v>12</v>
      </c>
      <c r="D40" s="1" t="s">
        <v>12</v>
      </c>
      <c r="E40" s="1" t="s">
        <v>12</v>
      </c>
      <c r="F40" s="73">
        <f t="shared" si="0"/>
        <v>3904006.3</v>
      </c>
      <c r="G40" s="73">
        <f>G41+G46+G50+G53</f>
        <v>771977</v>
      </c>
      <c r="H40" s="73">
        <f>H41+H46+H50+H53</f>
        <v>3132029.3</v>
      </c>
      <c r="I40" s="73">
        <f>I41+I46+I50+I53</f>
        <v>0</v>
      </c>
      <c r="J40" s="73">
        <f t="shared" ref="J40:J41" si="36">K40+L40+M40</f>
        <v>215760.2</v>
      </c>
      <c r="K40" s="73">
        <f>K41+K46+K50+K53</f>
        <v>86547.4</v>
      </c>
      <c r="L40" s="73">
        <f>L41+L46+L50+L53</f>
        <v>129212.8</v>
      </c>
      <c r="M40" s="73">
        <f>M41+M46+M50+M53</f>
        <v>0</v>
      </c>
      <c r="N40" s="73">
        <f t="shared" ref="N40:N41" si="37">O40+P40+Q40</f>
        <v>624926.4</v>
      </c>
      <c r="O40" s="73">
        <f>O41+O46+O50+O53</f>
        <v>145833.79999999999</v>
      </c>
      <c r="P40" s="73">
        <f>P41+P46+P50+P53</f>
        <v>479092.6</v>
      </c>
      <c r="Q40" s="73">
        <f>Q41+Q46+Q50+Q53</f>
        <v>0</v>
      </c>
      <c r="R40" s="73">
        <f t="shared" ref="R40:R41" si="38">S40+T40+U40</f>
        <v>417127</v>
      </c>
      <c r="S40" s="73">
        <f>S41+S46+S50+S53</f>
        <v>158561.29999999999</v>
      </c>
      <c r="T40" s="73">
        <f>T41+T46+T50+T53</f>
        <v>258565.7</v>
      </c>
      <c r="U40" s="73">
        <f>U41+U46+U50+U53</f>
        <v>0</v>
      </c>
      <c r="V40" s="74">
        <f t="shared" si="4"/>
        <v>5.5E-2</v>
      </c>
    </row>
    <row r="41" spans="1:103" ht="51.75" customHeight="1">
      <c r="A41" s="33" t="s">
        <v>35</v>
      </c>
      <c r="B41" s="46" t="s">
        <v>36</v>
      </c>
      <c r="C41" s="25" t="s">
        <v>12</v>
      </c>
      <c r="D41" s="25" t="s">
        <v>12</v>
      </c>
      <c r="E41" s="25" t="s">
        <v>12</v>
      </c>
      <c r="F41" s="68">
        <f t="shared" si="0"/>
        <v>290709.5</v>
      </c>
      <c r="G41" s="68">
        <f>SUM(G43:G45)</f>
        <v>126963</v>
      </c>
      <c r="H41" s="68">
        <f>SUM(H43:H45)</f>
        <v>163746.5</v>
      </c>
      <c r="I41" s="68">
        <f>SUM(I43:I45)</f>
        <v>0</v>
      </c>
      <c r="J41" s="68">
        <f t="shared" si="36"/>
        <v>150000</v>
      </c>
      <c r="K41" s="68">
        <f>SUM(K43:K45)</f>
        <v>72954.5</v>
      </c>
      <c r="L41" s="68">
        <f>SUM(L43:L45)</f>
        <v>77045.5</v>
      </c>
      <c r="M41" s="68">
        <f>SUM(M43:M45)</f>
        <v>0</v>
      </c>
      <c r="N41" s="68">
        <f t="shared" si="37"/>
        <v>226690.3</v>
      </c>
      <c r="O41" s="68">
        <f>SUM(O43:O45)</f>
        <v>126625.1</v>
      </c>
      <c r="P41" s="68">
        <f>SUM(P43:P45)</f>
        <v>100065.2</v>
      </c>
      <c r="Q41" s="68">
        <f>SUM(Q43:Q45)</f>
        <v>0</v>
      </c>
      <c r="R41" s="68">
        <f t="shared" si="38"/>
        <v>226690.3</v>
      </c>
      <c r="S41" s="68">
        <f>SUM(S43:S45)</f>
        <v>139352.6</v>
      </c>
      <c r="T41" s="68">
        <f>SUM(T43:T45)</f>
        <v>87337.7</v>
      </c>
      <c r="U41" s="68">
        <f>SUM(U43:U45)</f>
        <v>0</v>
      </c>
      <c r="V41" s="72">
        <f t="shared" si="4"/>
        <v>0.51600000000000001</v>
      </c>
    </row>
    <row r="42" spans="1:103" ht="18.75">
      <c r="A42" s="39"/>
      <c r="B42" s="26" t="s">
        <v>15</v>
      </c>
      <c r="C42" s="27"/>
      <c r="D42" s="27"/>
      <c r="E42" s="27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72"/>
    </row>
    <row r="43" spans="1:103" ht="36.75" customHeight="1">
      <c r="A43" s="39"/>
      <c r="B43" s="30" t="s">
        <v>37</v>
      </c>
      <c r="C43" s="53">
        <v>811</v>
      </c>
      <c r="D43" s="61" t="s">
        <v>17</v>
      </c>
      <c r="E43" s="53" t="s">
        <v>216</v>
      </c>
      <c r="F43" s="67">
        <f t="shared" si="0"/>
        <v>40390.300000000003</v>
      </c>
      <c r="G43" s="70">
        <v>40390.300000000003</v>
      </c>
      <c r="H43" s="70"/>
      <c r="I43" s="70"/>
      <c r="J43" s="67">
        <f t="shared" ref="J43:J46" si="39">K43+L43+M43</f>
        <v>0</v>
      </c>
      <c r="K43" s="70"/>
      <c r="L43" s="70"/>
      <c r="M43" s="70"/>
      <c r="N43" s="67">
        <f t="shared" ref="N43:N46" si="40">O43+P43+Q43</f>
        <v>28690.3</v>
      </c>
      <c r="O43" s="70">
        <v>28690.3</v>
      </c>
      <c r="P43" s="70"/>
      <c r="Q43" s="70"/>
      <c r="R43" s="67">
        <f t="shared" ref="R43:R46" si="41">S43+T43+U43</f>
        <v>28690.3</v>
      </c>
      <c r="S43" s="70">
        <v>28690.3</v>
      </c>
      <c r="T43" s="70"/>
      <c r="U43" s="70"/>
      <c r="V43" s="71">
        <f t="shared" si="4"/>
        <v>0</v>
      </c>
    </row>
    <row r="44" spans="1:103" ht="42.75" customHeight="1">
      <c r="A44" s="39"/>
      <c r="B44" s="30" t="s">
        <v>315</v>
      </c>
      <c r="C44" s="53">
        <v>811</v>
      </c>
      <c r="D44" s="61" t="s">
        <v>17</v>
      </c>
      <c r="E44" s="53" t="s">
        <v>155</v>
      </c>
      <c r="F44" s="67">
        <f t="shared" si="0"/>
        <v>178000</v>
      </c>
      <c r="G44" s="70">
        <v>86572.7</v>
      </c>
      <c r="H44" s="70">
        <v>91427.3</v>
      </c>
      <c r="I44" s="70"/>
      <c r="J44" s="67">
        <f t="shared" si="39"/>
        <v>150000</v>
      </c>
      <c r="K44" s="70">
        <f>48636.3+24318.2</f>
        <v>72954.5</v>
      </c>
      <c r="L44" s="70">
        <v>77045.5</v>
      </c>
      <c r="M44" s="70"/>
      <c r="N44" s="67">
        <f t="shared" si="40"/>
        <v>198000</v>
      </c>
      <c r="O44" s="70">
        <v>97934.8</v>
      </c>
      <c r="P44" s="70">
        <v>100065.2</v>
      </c>
      <c r="Q44" s="70"/>
      <c r="R44" s="67">
        <f t="shared" si="41"/>
        <v>198000</v>
      </c>
      <c r="S44" s="70">
        <v>110662.3</v>
      </c>
      <c r="T44" s="70">
        <v>87337.7</v>
      </c>
      <c r="U44" s="70"/>
      <c r="V44" s="71">
        <f t="shared" si="4"/>
        <v>0.84299999999999997</v>
      </c>
    </row>
    <row r="45" spans="1:103" ht="75" customHeight="1">
      <c r="A45" s="39"/>
      <c r="B45" s="59" t="s">
        <v>153</v>
      </c>
      <c r="C45" s="53">
        <v>811</v>
      </c>
      <c r="D45" s="61" t="s">
        <v>17</v>
      </c>
      <c r="E45" s="53" t="s">
        <v>154</v>
      </c>
      <c r="F45" s="67">
        <f t="shared" ref="F45:F91" si="42">G45+H45+I45</f>
        <v>72319.199999999997</v>
      </c>
      <c r="G45" s="70"/>
      <c r="H45" s="70">
        <v>72319.199999999997</v>
      </c>
      <c r="I45" s="70"/>
      <c r="J45" s="67">
        <f t="shared" si="39"/>
        <v>0</v>
      </c>
      <c r="K45" s="70"/>
      <c r="L45" s="70"/>
      <c r="M45" s="70"/>
      <c r="N45" s="67">
        <f t="shared" si="40"/>
        <v>0</v>
      </c>
      <c r="O45" s="70"/>
      <c r="P45" s="70"/>
      <c r="Q45" s="70"/>
      <c r="R45" s="67">
        <f t="shared" si="41"/>
        <v>0</v>
      </c>
      <c r="S45" s="70"/>
      <c r="T45" s="70"/>
      <c r="U45" s="70"/>
      <c r="V45" s="71">
        <f t="shared" ref="V45:V91" si="43">J45/F45</f>
        <v>0</v>
      </c>
    </row>
    <row r="46" spans="1:103" ht="33">
      <c r="A46" s="33" t="s">
        <v>38</v>
      </c>
      <c r="B46" s="24" t="s">
        <v>39</v>
      </c>
      <c r="C46" s="25" t="s">
        <v>12</v>
      </c>
      <c r="D46" s="25" t="s">
        <v>12</v>
      </c>
      <c r="E46" s="25" t="s">
        <v>12</v>
      </c>
      <c r="F46" s="67">
        <f t="shared" si="42"/>
        <v>120753.5</v>
      </c>
      <c r="G46" s="68">
        <f>SUM(G48:G49)</f>
        <v>1418.7</v>
      </c>
      <c r="H46" s="68">
        <f>SUM(H48:H49)</f>
        <v>119334.8</v>
      </c>
      <c r="I46" s="68">
        <f>SUM(I48:I49)</f>
        <v>0</v>
      </c>
      <c r="J46" s="67">
        <f t="shared" si="39"/>
        <v>0</v>
      </c>
      <c r="K46" s="68">
        <f>SUM(K48:K49)</f>
        <v>0</v>
      </c>
      <c r="L46" s="68">
        <f>SUM(L48:L49)</f>
        <v>0</v>
      </c>
      <c r="M46" s="68">
        <f>SUM(M48:M49)</f>
        <v>0</v>
      </c>
      <c r="N46" s="67">
        <f t="shared" si="40"/>
        <v>165592.4</v>
      </c>
      <c r="O46" s="68">
        <f>SUM(O48:O49)</f>
        <v>1418.7</v>
      </c>
      <c r="P46" s="68">
        <f>SUM(P48:P49)</f>
        <v>164173.70000000001</v>
      </c>
      <c r="Q46" s="68">
        <f>SUM(Q48:Q49)</f>
        <v>0</v>
      </c>
      <c r="R46" s="67">
        <f t="shared" si="41"/>
        <v>111539.7</v>
      </c>
      <c r="S46" s="68">
        <f>SUM(S48:S49)</f>
        <v>1418.7</v>
      </c>
      <c r="T46" s="68">
        <f>SUM(T48:T49)</f>
        <v>110121</v>
      </c>
      <c r="U46" s="68">
        <f>SUM(U48:U49)</f>
        <v>0</v>
      </c>
      <c r="V46" s="69">
        <f t="shared" si="43"/>
        <v>0</v>
      </c>
    </row>
    <row r="47" spans="1:103" ht="18.75">
      <c r="A47" s="39"/>
      <c r="B47" s="26" t="s">
        <v>15</v>
      </c>
      <c r="C47" s="27"/>
      <c r="D47" s="27"/>
      <c r="E47" s="27"/>
      <c r="F47" s="67"/>
      <c r="G47" s="68"/>
      <c r="H47" s="68"/>
      <c r="I47" s="68"/>
      <c r="J47" s="67"/>
      <c r="K47" s="68"/>
      <c r="L47" s="68"/>
      <c r="M47" s="68"/>
      <c r="N47" s="67"/>
      <c r="O47" s="68"/>
      <c r="P47" s="68"/>
      <c r="Q47" s="68"/>
      <c r="R47" s="67"/>
      <c r="S47" s="68"/>
      <c r="T47" s="68"/>
      <c r="U47" s="68"/>
      <c r="V47" s="69"/>
    </row>
    <row r="48" spans="1:103" s="9" customFormat="1" ht="49.5">
      <c r="A48" s="41"/>
      <c r="B48" s="32" t="s">
        <v>40</v>
      </c>
      <c r="C48" s="62">
        <v>811</v>
      </c>
      <c r="D48" s="63" t="s">
        <v>17</v>
      </c>
      <c r="E48" s="62" t="s">
        <v>156</v>
      </c>
      <c r="F48" s="75">
        <f t="shared" si="42"/>
        <v>73465.899999999994</v>
      </c>
      <c r="G48" s="76"/>
      <c r="H48" s="76">
        <v>73465.899999999994</v>
      </c>
      <c r="I48" s="76"/>
      <c r="J48" s="75">
        <f t="shared" ref="J48:J49" si="44">K48+L48+M48</f>
        <v>0</v>
      </c>
      <c r="K48" s="76"/>
      <c r="L48" s="76"/>
      <c r="M48" s="76"/>
      <c r="N48" s="67">
        <f t="shared" ref="N48:N49" si="45">O48+P48+Q48</f>
        <v>118304.8</v>
      </c>
      <c r="O48" s="76"/>
      <c r="P48" s="76">
        <v>118304.8</v>
      </c>
      <c r="Q48" s="76"/>
      <c r="R48" s="67">
        <f t="shared" ref="R48:R49" si="46">S48+T48+U48</f>
        <v>64252.1</v>
      </c>
      <c r="S48" s="76"/>
      <c r="T48" s="76">
        <v>64252.1</v>
      </c>
      <c r="U48" s="76"/>
      <c r="V48" s="77">
        <f t="shared" si="43"/>
        <v>0</v>
      </c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</row>
    <row r="49" spans="1:103" s="9" customFormat="1" ht="75.75" customHeight="1">
      <c r="A49" s="41"/>
      <c r="B49" s="32" t="s">
        <v>158</v>
      </c>
      <c r="C49" s="62">
        <v>811</v>
      </c>
      <c r="D49" s="63" t="s">
        <v>17</v>
      </c>
      <c r="E49" s="62" t="s">
        <v>157</v>
      </c>
      <c r="F49" s="75">
        <f t="shared" si="42"/>
        <v>47287.6</v>
      </c>
      <c r="G49" s="76">
        <v>1418.7</v>
      </c>
      <c r="H49" s="76">
        <v>45868.9</v>
      </c>
      <c r="I49" s="76"/>
      <c r="J49" s="75">
        <f t="shared" si="44"/>
        <v>0</v>
      </c>
      <c r="K49" s="76"/>
      <c r="L49" s="76"/>
      <c r="M49" s="76"/>
      <c r="N49" s="67">
        <f t="shared" si="45"/>
        <v>47287.6</v>
      </c>
      <c r="O49" s="76">
        <v>1418.7</v>
      </c>
      <c r="P49" s="76">
        <v>45868.9</v>
      </c>
      <c r="Q49" s="76"/>
      <c r="R49" s="67">
        <f t="shared" si="46"/>
        <v>47287.6</v>
      </c>
      <c r="S49" s="76">
        <v>1418.7</v>
      </c>
      <c r="T49" s="76">
        <v>45868.9</v>
      </c>
      <c r="U49" s="76"/>
      <c r="V49" s="77">
        <f t="shared" si="43"/>
        <v>0</v>
      </c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</row>
    <row r="50" spans="1:103" s="42" customFormat="1" ht="82.5">
      <c r="A50" s="33" t="s">
        <v>41</v>
      </c>
      <c r="B50" s="24" t="s">
        <v>43</v>
      </c>
      <c r="C50" s="25" t="s">
        <v>12</v>
      </c>
      <c r="D50" s="25" t="s">
        <v>12</v>
      </c>
      <c r="E50" s="25" t="s">
        <v>12</v>
      </c>
      <c r="F50" s="67">
        <f t="shared" si="42"/>
        <v>198424.6</v>
      </c>
      <c r="G50" s="68">
        <f>SUM(G52:G52)</f>
        <v>21619.1</v>
      </c>
      <c r="H50" s="68">
        <f>SUM(H52:H52)</f>
        <v>176805.5</v>
      </c>
      <c r="I50" s="68">
        <f>SUM(I52:I52)</f>
        <v>0</v>
      </c>
      <c r="J50" s="67">
        <f t="shared" ref="J50" si="47">K50+L50+M50</f>
        <v>0</v>
      </c>
      <c r="K50" s="68">
        <f>SUM(K52:K52)</f>
        <v>0</v>
      </c>
      <c r="L50" s="68">
        <f>SUM(L52:L52)</f>
        <v>0</v>
      </c>
      <c r="M50" s="68">
        <f>SUM(M52:M52)</f>
        <v>0</v>
      </c>
      <c r="N50" s="67">
        <f t="shared" ref="N50" si="48">O50+P50+Q50</f>
        <v>29782.5</v>
      </c>
      <c r="O50" s="68">
        <f>SUM(O52:O52)</f>
        <v>17790</v>
      </c>
      <c r="P50" s="68">
        <f>SUM(P52:P52)</f>
        <v>11992.5</v>
      </c>
      <c r="Q50" s="68">
        <f>SUM(Q52:Q52)</f>
        <v>0</v>
      </c>
      <c r="R50" s="67">
        <f t="shared" ref="R50" si="49">S50+T50+U50</f>
        <v>26148.3</v>
      </c>
      <c r="S50" s="68">
        <f>SUM(S52:S52)</f>
        <v>17790</v>
      </c>
      <c r="T50" s="68">
        <f>SUM(T52:T52)</f>
        <v>8358.2999999999993</v>
      </c>
      <c r="U50" s="68">
        <f>SUM(U52:U52)</f>
        <v>0</v>
      </c>
      <c r="V50" s="69">
        <f t="shared" si="43"/>
        <v>0</v>
      </c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</row>
    <row r="51" spans="1:103" ht="18.75">
      <c r="A51" s="39"/>
      <c r="B51" s="26" t="s">
        <v>15</v>
      </c>
      <c r="C51" s="27"/>
      <c r="D51" s="27"/>
      <c r="E51" s="27"/>
      <c r="F51" s="67"/>
      <c r="G51" s="68"/>
      <c r="H51" s="68"/>
      <c r="I51" s="68"/>
      <c r="J51" s="67"/>
      <c r="K51" s="68"/>
      <c r="L51" s="68"/>
      <c r="M51" s="68"/>
      <c r="N51" s="67"/>
      <c r="O51" s="68"/>
      <c r="P51" s="68"/>
      <c r="Q51" s="68"/>
      <c r="R51" s="67"/>
      <c r="S51" s="68"/>
      <c r="T51" s="68"/>
      <c r="U51" s="68"/>
      <c r="V51" s="69"/>
    </row>
    <row r="52" spans="1:103" ht="71.25" customHeight="1">
      <c r="A52" s="39"/>
      <c r="B52" s="30" t="s">
        <v>44</v>
      </c>
      <c r="C52" s="53">
        <v>811</v>
      </c>
      <c r="D52" s="61" t="s">
        <v>17</v>
      </c>
      <c r="E52" s="53" t="s">
        <v>162</v>
      </c>
      <c r="F52" s="67">
        <f t="shared" si="42"/>
        <v>198424.6</v>
      </c>
      <c r="G52" s="70">
        <f>17790+3829.1</f>
        <v>21619.1</v>
      </c>
      <c r="H52" s="70">
        <f>95494.6+81310.9</f>
        <v>176805.5</v>
      </c>
      <c r="I52" s="70"/>
      <c r="J52" s="67">
        <f t="shared" ref="J52:J53" si="50">K52+L52+M52</f>
        <v>0</v>
      </c>
      <c r="K52" s="70"/>
      <c r="L52" s="70"/>
      <c r="M52" s="70"/>
      <c r="N52" s="67">
        <f t="shared" ref="N52:N53" si="51">O52+P52+Q52</f>
        <v>29782.5</v>
      </c>
      <c r="O52" s="70">
        <v>17790</v>
      </c>
      <c r="P52" s="70">
        <v>11992.5</v>
      </c>
      <c r="Q52" s="70"/>
      <c r="R52" s="67">
        <f t="shared" ref="R52:R53" si="52">S52+T52+U52</f>
        <v>26148.3</v>
      </c>
      <c r="S52" s="70">
        <v>17790</v>
      </c>
      <c r="T52" s="70">
        <v>8358.2999999999993</v>
      </c>
      <c r="U52" s="70"/>
      <c r="V52" s="71">
        <f t="shared" si="43"/>
        <v>0</v>
      </c>
    </row>
    <row r="53" spans="1:103" s="42" customFormat="1" ht="33">
      <c r="A53" s="31" t="s">
        <v>42</v>
      </c>
      <c r="B53" s="24" t="s">
        <v>45</v>
      </c>
      <c r="C53" s="25" t="s">
        <v>12</v>
      </c>
      <c r="D53" s="25" t="s">
        <v>12</v>
      </c>
      <c r="E53" s="25" t="s">
        <v>12</v>
      </c>
      <c r="F53" s="67">
        <f t="shared" si="42"/>
        <v>3294118.7</v>
      </c>
      <c r="G53" s="68">
        <f t="shared" ref="G53:H53" si="53">SUM(G55:G57)</f>
        <v>621976.19999999995</v>
      </c>
      <c r="H53" s="68">
        <f t="shared" si="53"/>
        <v>2672142.5</v>
      </c>
      <c r="I53" s="68">
        <f t="shared" ref="I53" si="54">SUM(I55:I57)</f>
        <v>0</v>
      </c>
      <c r="J53" s="67">
        <f t="shared" si="50"/>
        <v>65760.2</v>
      </c>
      <c r="K53" s="68">
        <f t="shared" ref="K53:M53" si="55">SUM(K55:K57)</f>
        <v>13592.9</v>
      </c>
      <c r="L53" s="68">
        <f t="shared" si="55"/>
        <v>52167.3</v>
      </c>
      <c r="M53" s="68">
        <f t="shared" si="55"/>
        <v>0</v>
      </c>
      <c r="N53" s="67">
        <f t="shared" si="51"/>
        <v>202861.2</v>
      </c>
      <c r="O53" s="68">
        <f t="shared" ref="O53:T53" si="56">SUM(O55:O57)</f>
        <v>0</v>
      </c>
      <c r="P53" s="68">
        <f t="shared" si="56"/>
        <v>202861.2</v>
      </c>
      <c r="Q53" s="68">
        <f t="shared" si="56"/>
        <v>0</v>
      </c>
      <c r="R53" s="67">
        <f t="shared" si="52"/>
        <v>52748.7</v>
      </c>
      <c r="S53" s="68">
        <f t="shared" si="56"/>
        <v>0</v>
      </c>
      <c r="T53" s="68">
        <f t="shared" si="56"/>
        <v>52748.7</v>
      </c>
      <c r="U53" s="68">
        <f t="shared" ref="U53" si="57">SUM(U55:U57)</f>
        <v>0</v>
      </c>
      <c r="V53" s="69">
        <f t="shared" si="43"/>
        <v>0.02</v>
      </c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</row>
    <row r="54" spans="1:103" ht="18.75">
      <c r="A54" s="37"/>
      <c r="B54" s="16" t="s">
        <v>15</v>
      </c>
      <c r="C54" s="7"/>
      <c r="D54" s="7"/>
      <c r="E54" s="7"/>
      <c r="F54" s="67"/>
      <c r="G54" s="68"/>
      <c r="H54" s="68"/>
      <c r="I54" s="68"/>
      <c r="J54" s="67"/>
      <c r="K54" s="68"/>
      <c r="L54" s="68"/>
      <c r="M54" s="68"/>
      <c r="N54" s="67"/>
      <c r="O54" s="68"/>
      <c r="P54" s="68"/>
      <c r="Q54" s="68"/>
      <c r="R54" s="67"/>
      <c r="S54" s="68"/>
      <c r="T54" s="68"/>
      <c r="U54" s="68"/>
      <c r="V54" s="69"/>
    </row>
    <row r="55" spans="1:103" ht="60" customHeight="1">
      <c r="A55" s="36"/>
      <c r="B55" s="17" t="s">
        <v>159</v>
      </c>
      <c r="C55" s="64">
        <v>811</v>
      </c>
      <c r="D55" s="65" t="s">
        <v>17</v>
      </c>
      <c r="E55" s="64" t="s">
        <v>160</v>
      </c>
      <c r="F55" s="67">
        <f t="shared" si="42"/>
        <v>169555.6</v>
      </c>
      <c r="G55" s="70"/>
      <c r="H55" s="70">
        <v>169555.6</v>
      </c>
      <c r="I55" s="70"/>
      <c r="J55" s="67">
        <f t="shared" ref="J55:J59" si="58">K55+L55+M55</f>
        <v>0</v>
      </c>
      <c r="K55" s="70"/>
      <c r="L55" s="70"/>
      <c r="M55" s="70"/>
      <c r="N55" s="67">
        <f t="shared" ref="N55:N59" si="59">O55+P55+Q55</f>
        <v>202861.2</v>
      </c>
      <c r="O55" s="70"/>
      <c r="P55" s="70">
        <v>202861.2</v>
      </c>
      <c r="Q55" s="70"/>
      <c r="R55" s="67">
        <f t="shared" ref="R55:R58" si="60">S55+T55+U55</f>
        <v>52748.7</v>
      </c>
      <c r="S55" s="70"/>
      <c r="T55" s="70">
        <v>52748.7</v>
      </c>
      <c r="U55" s="70"/>
      <c r="V55" s="71">
        <f t="shared" si="43"/>
        <v>0</v>
      </c>
    </row>
    <row r="56" spans="1:103" ht="75.75" customHeight="1">
      <c r="A56" s="36"/>
      <c r="B56" s="17" t="s">
        <v>331</v>
      </c>
      <c r="C56" s="64">
        <v>821</v>
      </c>
      <c r="D56" s="65" t="s">
        <v>19</v>
      </c>
      <c r="E56" s="64" t="s">
        <v>161</v>
      </c>
      <c r="F56" s="67">
        <f t="shared" si="42"/>
        <v>3124455.9</v>
      </c>
      <c r="G56" s="70">
        <f>498971.2+122897.77</f>
        <v>621869</v>
      </c>
      <c r="H56" s="70">
        <f>1914972+587614.9</f>
        <v>2502586.9</v>
      </c>
      <c r="I56" s="70"/>
      <c r="J56" s="67">
        <f t="shared" si="58"/>
        <v>65760.2</v>
      </c>
      <c r="K56" s="70">
        <v>13592.9</v>
      </c>
      <c r="L56" s="70">
        <v>52167.3</v>
      </c>
      <c r="M56" s="70"/>
      <c r="N56" s="67">
        <f t="shared" si="59"/>
        <v>0</v>
      </c>
      <c r="O56" s="70"/>
      <c r="P56" s="70"/>
      <c r="Q56" s="70"/>
      <c r="R56" s="67">
        <f t="shared" si="60"/>
        <v>0</v>
      </c>
      <c r="S56" s="70"/>
      <c r="T56" s="70"/>
      <c r="U56" s="70"/>
      <c r="V56" s="71">
        <f t="shared" si="43"/>
        <v>2.1000000000000001E-2</v>
      </c>
    </row>
    <row r="57" spans="1:103" ht="33">
      <c r="A57" s="36"/>
      <c r="B57" s="17" t="s">
        <v>258</v>
      </c>
      <c r="C57" s="64">
        <v>821</v>
      </c>
      <c r="D57" s="65" t="s">
        <v>19</v>
      </c>
      <c r="E57" s="64" t="s">
        <v>259</v>
      </c>
      <c r="F57" s="67">
        <f t="shared" si="42"/>
        <v>107.2</v>
      </c>
      <c r="G57" s="70">
        <v>107.2</v>
      </c>
      <c r="H57" s="70"/>
      <c r="I57" s="70"/>
      <c r="J57" s="67">
        <f t="shared" si="58"/>
        <v>0</v>
      </c>
      <c r="K57" s="70"/>
      <c r="L57" s="70"/>
      <c r="M57" s="70"/>
      <c r="N57" s="67">
        <f t="shared" si="59"/>
        <v>0</v>
      </c>
      <c r="O57" s="70"/>
      <c r="P57" s="70"/>
      <c r="Q57" s="70"/>
      <c r="R57" s="67">
        <f t="shared" si="60"/>
        <v>0</v>
      </c>
      <c r="S57" s="70"/>
      <c r="T57" s="70"/>
      <c r="U57" s="70"/>
      <c r="V57" s="71">
        <f t="shared" si="43"/>
        <v>0</v>
      </c>
    </row>
    <row r="58" spans="1:103" ht="24" customHeight="1">
      <c r="A58" s="38" t="s">
        <v>46</v>
      </c>
      <c r="B58" s="21" t="s">
        <v>47</v>
      </c>
      <c r="C58" s="1" t="s">
        <v>12</v>
      </c>
      <c r="D58" s="1" t="s">
        <v>12</v>
      </c>
      <c r="E58" s="1" t="s">
        <v>12</v>
      </c>
      <c r="F58" s="73">
        <f t="shared" si="42"/>
        <v>2411849.1</v>
      </c>
      <c r="G58" s="73">
        <f>G59+G69+G77+G85</f>
        <v>1505439.7</v>
      </c>
      <c r="H58" s="73">
        <f>H59+H69+H77+H85</f>
        <v>652322.4</v>
      </c>
      <c r="I58" s="73">
        <f>I59+I69+I77+I85</f>
        <v>254087</v>
      </c>
      <c r="J58" s="73">
        <f t="shared" si="58"/>
        <v>44300.7</v>
      </c>
      <c r="K58" s="73">
        <f>K59+K69+K77+K85</f>
        <v>33926.6</v>
      </c>
      <c r="L58" s="73">
        <f>L59+L69+L77+L85</f>
        <v>9935.6</v>
      </c>
      <c r="M58" s="73">
        <f>M59+M69+M77+M85</f>
        <v>438.5</v>
      </c>
      <c r="N58" s="73">
        <f t="shared" si="59"/>
        <v>1320419.5</v>
      </c>
      <c r="O58" s="73">
        <f>O59+O69+O77+O85</f>
        <v>847542.5</v>
      </c>
      <c r="P58" s="73">
        <f>P59+P69+P77+P85</f>
        <v>472877</v>
      </c>
      <c r="Q58" s="73">
        <f>Q59+Q69+Q77+Q85</f>
        <v>0</v>
      </c>
      <c r="R58" s="73">
        <f t="shared" si="60"/>
        <v>687502.4</v>
      </c>
      <c r="S58" s="73">
        <f>S59+S69+S77+S85</f>
        <v>324069.40000000002</v>
      </c>
      <c r="T58" s="73">
        <f>T59+T69+T77+T85</f>
        <v>363433</v>
      </c>
      <c r="U58" s="73">
        <f>U59+U69+U77+U85</f>
        <v>0</v>
      </c>
      <c r="V58" s="74">
        <f t="shared" si="43"/>
        <v>1.7999999999999999E-2</v>
      </c>
    </row>
    <row r="59" spans="1:103" ht="33">
      <c r="A59" s="36" t="s">
        <v>48</v>
      </c>
      <c r="B59" s="24" t="s">
        <v>49</v>
      </c>
      <c r="C59" s="6" t="s">
        <v>12</v>
      </c>
      <c r="D59" s="6" t="s">
        <v>12</v>
      </c>
      <c r="E59" s="6" t="s">
        <v>12</v>
      </c>
      <c r="F59" s="68">
        <f t="shared" si="42"/>
        <v>2008866.3</v>
      </c>
      <c r="G59" s="68">
        <f>SUM(G61:G68)</f>
        <v>1347641.4</v>
      </c>
      <c r="H59" s="68">
        <f>SUM(H61:H68)</f>
        <v>409341</v>
      </c>
      <c r="I59" s="68">
        <f>SUM(I61:I68)</f>
        <v>251883.9</v>
      </c>
      <c r="J59" s="68">
        <f t="shared" si="58"/>
        <v>10125.299999999999</v>
      </c>
      <c r="K59" s="68">
        <f>SUM(K61:K68)</f>
        <v>290.60000000000002</v>
      </c>
      <c r="L59" s="68">
        <f t="shared" ref="L59:M59" si="61">SUM(L61:L68)</f>
        <v>9396.2000000000007</v>
      </c>
      <c r="M59" s="68">
        <f t="shared" si="61"/>
        <v>438.5</v>
      </c>
      <c r="N59" s="67">
        <f t="shared" si="59"/>
        <v>1072416</v>
      </c>
      <c r="O59" s="68">
        <f>SUM(O61:O66)</f>
        <v>716668.4</v>
      </c>
      <c r="P59" s="68">
        <f>SUM(P61:P68)</f>
        <v>355747.6</v>
      </c>
      <c r="Q59" s="68">
        <f t="shared" ref="Q59:R59" si="62">SUM(Q61:Q68)</f>
        <v>0</v>
      </c>
      <c r="R59" s="68">
        <f t="shared" si="62"/>
        <v>98222.399999999994</v>
      </c>
      <c r="S59" s="68">
        <f>SUM(S61:S66)</f>
        <v>40038.800000000003</v>
      </c>
      <c r="T59" s="68">
        <f>SUM(T61:T68)</f>
        <v>58183.6</v>
      </c>
      <c r="U59" s="68">
        <f>SUM(U61:U68)</f>
        <v>0</v>
      </c>
      <c r="V59" s="72">
        <f t="shared" si="43"/>
        <v>5.0000000000000001E-3</v>
      </c>
    </row>
    <row r="60" spans="1:103" ht="18.75">
      <c r="A60" s="39"/>
      <c r="B60" s="26" t="s">
        <v>15</v>
      </c>
      <c r="C60" s="27"/>
      <c r="D60" s="27"/>
      <c r="E60" s="27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72"/>
    </row>
    <row r="61" spans="1:103" ht="87" customHeight="1">
      <c r="A61" s="39"/>
      <c r="B61" s="30" t="s">
        <v>316</v>
      </c>
      <c r="C61" s="53">
        <v>815</v>
      </c>
      <c r="D61" s="61" t="s">
        <v>50</v>
      </c>
      <c r="E61" s="66" t="s">
        <v>170</v>
      </c>
      <c r="F61" s="67">
        <f t="shared" si="42"/>
        <v>37649.699999999997</v>
      </c>
      <c r="G61" s="70">
        <v>1129.5</v>
      </c>
      <c r="H61" s="70">
        <v>36520.199999999997</v>
      </c>
      <c r="I61" s="70"/>
      <c r="J61" s="67">
        <f t="shared" ref="J61:J69" si="63">K61+L61+M61</f>
        <v>0</v>
      </c>
      <c r="K61" s="70"/>
      <c r="L61" s="70"/>
      <c r="M61" s="70"/>
      <c r="N61" s="67">
        <f t="shared" ref="N61:N69" si="64">O61+P61+Q61</f>
        <v>43468.800000000003</v>
      </c>
      <c r="O61" s="70">
        <v>5426.7</v>
      </c>
      <c r="P61" s="70">
        <v>38042.1</v>
      </c>
      <c r="Q61" s="70"/>
      <c r="R61" s="67">
        <f t="shared" ref="R61:R69" si="65">S61+T61+U61</f>
        <v>41948.7</v>
      </c>
      <c r="S61" s="70">
        <v>5433.9</v>
      </c>
      <c r="T61" s="70">
        <v>36514.800000000003</v>
      </c>
      <c r="U61" s="70"/>
      <c r="V61" s="71">
        <f t="shared" si="43"/>
        <v>0</v>
      </c>
    </row>
    <row r="62" spans="1:103" ht="76.5" customHeight="1">
      <c r="A62" s="39"/>
      <c r="B62" s="30" t="s">
        <v>289</v>
      </c>
      <c r="C62" s="53">
        <v>815</v>
      </c>
      <c r="D62" s="61" t="s">
        <v>50</v>
      </c>
      <c r="E62" s="66" t="s">
        <v>290</v>
      </c>
      <c r="F62" s="67">
        <f t="shared" si="42"/>
        <v>30705.7</v>
      </c>
      <c r="G62" s="70">
        <v>20011.5</v>
      </c>
      <c r="H62" s="70">
        <v>10694.2</v>
      </c>
      <c r="I62" s="70"/>
      <c r="J62" s="67">
        <f t="shared" si="63"/>
        <v>0</v>
      </c>
      <c r="K62" s="70"/>
      <c r="L62" s="70"/>
      <c r="M62" s="70"/>
      <c r="N62" s="67">
        <f t="shared" si="64"/>
        <v>22920.5</v>
      </c>
      <c r="O62" s="70">
        <v>22920.5</v>
      </c>
      <c r="P62" s="70"/>
      <c r="Q62" s="70"/>
      <c r="R62" s="67">
        <f t="shared" si="65"/>
        <v>24056.9</v>
      </c>
      <c r="S62" s="70">
        <v>24056.9</v>
      </c>
      <c r="T62" s="70"/>
      <c r="U62" s="70"/>
      <c r="V62" s="71">
        <f t="shared" si="43"/>
        <v>0</v>
      </c>
    </row>
    <row r="63" spans="1:103" ht="70.5" customHeight="1">
      <c r="A63" s="39"/>
      <c r="B63" s="30" t="s">
        <v>287</v>
      </c>
      <c r="C63" s="53">
        <v>821</v>
      </c>
      <c r="D63" s="61" t="s">
        <v>19</v>
      </c>
      <c r="E63" s="66" t="s">
        <v>288</v>
      </c>
      <c r="F63" s="67">
        <f t="shared" si="42"/>
        <v>21200</v>
      </c>
      <c r="G63" s="70">
        <v>15900</v>
      </c>
      <c r="H63" s="70"/>
      <c r="I63" s="70">
        <v>5300</v>
      </c>
      <c r="J63" s="67">
        <f t="shared" si="63"/>
        <v>0</v>
      </c>
      <c r="K63" s="70"/>
      <c r="L63" s="70"/>
      <c r="M63" s="70"/>
      <c r="N63" s="67">
        <f t="shared" si="64"/>
        <v>0</v>
      </c>
      <c r="O63" s="70"/>
      <c r="P63" s="70"/>
      <c r="Q63" s="70"/>
      <c r="R63" s="67">
        <f t="shared" si="65"/>
        <v>0</v>
      </c>
      <c r="S63" s="70"/>
      <c r="T63" s="70"/>
      <c r="U63" s="70"/>
      <c r="V63" s="71">
        <f t="shared" si="43"/>
        <v>0</v>
      </c>
    </row>
    <row r="64" spans="1:103" ht="77.25" customHeight="1">
      <c r="A64" s="39"/>
      <c r="B64" s="30" t="s">
        <v>171</v>
      </c>
      <c r="C64" s="53">
        <v>815</v>
      </c>
      <c r="D64" s="61" t="s">
        <v>50</v>
      </c>
      <c r="E64" s="66" t="s">
        <v>172</v>
      </c>
      <c r="F64" s="67">
        <f t="shared" si="42"/>
        <v>20574.2</v>
      </c>
      <c r="G64" s="70">
        <v>6304</v>
      </c>
      <c r="H64" s="70">
        <v>14270.2</v>
      </c>
      <c r="I64" s="70"/>
      <c r="J64" s="67">
        <f t="shared" si="63"/>
        <v>0</v>
      </c>
      <c r="K64" s="70"/>
      <c r="L64" s="70"/>
      <c r="M64" s="70"/>
      <c r="N64" s="67">
        <f t="shared" si="64"/>
        <v>15899.6</v>
      </c>
      <c r="O64" s="70">
        <v>477</v>
      </c>
      <c r="P64" s="70">
        <v>15422.6</v>
      </c>
      <c r="Q64" s="70"/>
      <c r="R64" s="67">
        <f t="shared" si="65"/>
        <v>32216.799999999999</v>
      </c>
      <c r="S64" s="70">
        <v>10548</v>
      </c>
      <c r="T64" s="70">
        <v>21668.799999999999</v>
      </c>
      <c r="U64" s="70"/>
      <c r="V64" s="71">
        <f>J64/F64</f>
        <v>0</v>
      </c>
    </row>
    <row r="65" spans="1:22" ht="36" customHeight="1">
      <c r="A65" s="39"/>
      <c r="B65" s="30" t="s">
        <v>139</v>
      </c>
      <c r="C65" s="53">
        <v>821</v>
      </c>
      <c r="D65" s="61" t="s">
        <v>19</v>
      </c>
      <c r="E65" s="66" t="s">
        <v>173</v>
      </c>
      <c r="F65" s="67">
        <f t="shared" si="42"/>
        <v>0</v>
      </c>
      <c r="G65" s="70"/>
      <c r="H65" s="70"/>
      <c r="I65" s="70"/>
      <c r="J65" s="67">
        <f t="shared" si="63"/>
        <v>0</v>
      </c>
      <c r="K65" s="70"/>
      <c r="L65" s="70"/>
      <c r="M65" s="70"/>
      <c r="N65" s="67">
        <f t="shared" si="64"/>
        <v>990127.1</v>
      </c>
      <c r="O65" s="70">
        <v>687844.2</v>
      </c>
      <c r="P65" s="70">
        <v>302282.90000000002</v>
      </c>
      <c r="Q65" s="70"/>
      <c r="R65" s="67">
        <f t="shared" si="65"/>
        <v>0</v>
      </c>
      <c r="S65" s="70"/>
      <c r="T65" s="70"/>
      <c r="U65" s="70"/>
      <c r="V65" s="71"/>
    </row>
    <row r="66" spans="1:22" ht="36" customHeight="1">
      <c r="A66" s="39"/>
      <c r="B66" s="30" t="s">
        <v>139</v>
      </c>
      <c r="C66" s="53">
        <v>815</v>
      </c>
      <c r="D66" s="61" t="s">
        <v>50</v>
      </c>
      <c r="E66" s="66" t="s">
        <v>173</v>
      </c>
      <c r="F66" s="67">
        <f t="shared" si="42"/>
        <v>1601770.7</v>
      </c>
      <c r="G66" s="70">
        <f>150670.7+1147189.9</f>
        <v>1297860.6000000001</v>
      </c>
      <c r="H66" s="70">
        <v>303910.09999999998</v>
      </c>
      <c r="I66" s="70"/>
      <c r="J66" s="67">
        <f t="shared" si="63"/>
        <v>0</v>
      </c>
      <c r="K66" s="70"/>
      <c r="L66" s="70"/>
      <c r="M66" s="70"/>
      <c r="N66" s="67">
        <f t="shared" si="64"/>
        <v>0</v>
      </c>
      <c r="O66" s="70"/>
      <c r="P66" s="70"/>
      <c r="Q66" s="70"/>
      <c r="R66" s="67">
        <f t="shared" si="65"/>
        <v>0</v>
      </c>
      <c r="S66" s="70"/>
      <c r="T66" s="70"/>
      <c r="U66" s="70"/>
      <c r="V66" s="71">
        <f t="shared" si="43"/>
        <v>0</v>
      </c>
    </row>
    <row r="67" spans="1:22" ht="53.25" customHeight="1">
      <c r="A67" s="39"/>
      <c r="B67" s="30" t="s">
        <v>334</v>
      </c>
      <c r="C67" s="53">
        <v>821</v>
      </c>
      <c r="D67" s="61" t="s">
        <v>19</v>
      </c>
      <c r="E67" s="66" t="s">
        <v>333</v>
      </c>
      <c r="F67" s="67">
        <f t="shared" ref="F67" si="66">G67+H67+I67</f>
        <v>291889.40000000002</v>
      </c>
      <c r="G67" s="70">
        <v>1359.2</v>
      </c>
      <c r="H67" s="70">
        <v>43946.3</v>
      </c>
      <c r="I67" s="70">
        <v>246583.9</v>
      </c>
      <c r="J67" s="67">
        <f t="shared" ref="J67" si="67">K67+L67+M67</f>
        <v>10125.299999999999</v>
      </c>
      <c r="K67" s="70">
        <v>290.60000000000002</v>
      </c>
      <c r="L67" s="70">
        <v>9396.2000000000007</v>
      </c>
      <c r="M67" s="70">
        <v>438.5</v>
      </c>
      <c r="N67" s="67">
        <f t="shared" ref="N67" si="68">O67+P67+Q67</f>
        <v>0</v>
      </c>
      <c r="O67" s="70"/>
      <c r="P67" s="70"/>
      <c r="Q67" s="70"/>
      <c r="R67" s="67">
        <f t="shared" ref="R67" si="69">S67+T67+U67</f>
        <v>0</v>
      </c>
      <c r="S67" s="70"/>
      <c r="T67" s="70"/>
      <c r="U67" s="70"/>
      <c r="V67" s="71">
        <f t="shared" ref="V67" si="70">J67/F67</f>
        <v>3.5000000000000003E-2</v>
      </c>
    </row>
    <row r="68" spans="1:22" ht="53.25" customHeight="1">
      <c r="A68" s="39"/>
      <c r="B68" s="30" t="s">
        <v>334</v>
      </c>
      <c r="C68" s="53">
        <v>821</v>
      </c>
      <c r="D68" s="61" t="s">
        <v>19</v>
      </c>
      <c r="E68" s="66" t="s">
        <v>335</v>
      </c>
      <c r="F68" s="67">
        <f t="shared" ref="F68" si="71">G68+H68+I68</f>
        <v>5076.6000000000004</v>
      </c>
      <c r="G68" s="70">
        <v>5076.6000000000004</v>
      </c>
      <c r="H68" s="70"/>
      <c r="I68" s="70"/>
      <c r="J68" s="67">
        <f t="shared" ref="J68" si="72">K68+L68+M68</f>
        <v>0</v>
      </c>
      <c r="K68" s="70"/>
      <c r="L68" s="70"/>
      <c r="M68" s="70"/>
      <c r="N68" s="67">
        <f t="shared" ref="N68" si="73">O68+P68+Q68</f>
        <v>0</v>
      </c>
      <c r="O68" s="70"/>
      <c r="P68" s="70"/>
      <c r="Q68" s="70"/>
      <c r="R68" s="67">
        <f t="shared" ref="R68" si="74">S68+T68+U68</f>
        <v>0</v>
      </c>
      <c r="S68" s="70"/>
      <c r="T68" s="70"/>
      <c r="U68" s="70"/>
      <c r="V68" s="71">
        <f t="shared" ref="V68" si="75">J68/F68</f>
        <v>0</v>
      </c>
    </row>
    <row r="69" spans="1:22" ht="33">
      <c r="A69" s="33" t="s">
        <v>51</v>
      </c>
      <c r="B69" s="24" t="s">
        <v>52</v>
      </c>
      <c r="C69" s="25" t="s">
        <v>12</v>
      </c>
      <c r="D69" s="25" t="s">
        <v>12</v>
      </c>
      <c r="E69" s="25" t="s">
        <v>12</v>
      </c>
      <c r="F69" s="67">
        <f t="shared" si="42"/>
        <v>192990.9</v>
      </c>
      <c r="G69" s="68">
        <f t="shared" ref="G69:H69" si="76">SUM(G71:G76)</f>
        <v>37923</v>
      </c>
      <c r="H69" s="68">
        <f t="shared" si="76"/>
        <v>155067.9</v>
      </c>
      <c r="I69" s="68">
        <f t="shared" ref="I69" si="77">SUM(I71:I76)</f>
        <v>0</v>
      </c>
      <c r="J69" s="67">
        <f t="shared" si="63"/>
        <v>15155.1</v>
      </c>
      <c r="K69" s="68">
        <f t="shared" ref="K69:M69" si="78">SUM(K71:K76)</f>
        <v>15155.1</v>
      </c>
      <c r="L69" s="68">
        <f t="shared" si="78"/>
        <v>0</v>
      </c>
      <c r="M69" s="68">
        <f t="shared" si="78"/>
        <v>0</v>
      </c>
      <c r="N69" s="67">
        <f t="shared" si="64"/>
        <v>146020</v>
      </c>
      <c r="O69" s="68">
        <f t="shared" ref="O69:T69" si="79">SUM(O71:O76)</f>
        <v>36887.300000000003</v>
      </c>
      <c r="P69" s="68">
        <f t="shared" si="79"/>
        <v>109132.7</v>
      </c>
      <c r="Q69" s="68">
        <f t="shared" si="79"/>
        <v>0</v>
      </c>
      <c r="R69" s="67">
        <f t="shared" si="65"/>
        <v>155515.79999999999</v>
      </c>
      <c r="S69" s="68">
        <f t="shared" si="79"/>
        <v>49342.2</v>
      </c>
      <c r="T69" s="68">
        <f t="shared" si="79"/>
        <v>106173.6</v>
      </c>
      <c r="U69" s="68">
        <f t="shared" ref="U69" si="80">SUM(U71:U76)</f>
        <v>0</v>
      </c>
      <c r="V69" s="69">
        <f t="shared" si="43"/>
        <v>7.9000000000000001E-2</v>
      </c>
    </row>
    <row r="70" spans="1:22" ht="18.75">
      <c r="A70" s="39"/>
      <c r="B70" s="26" t="s">
        <v>15</v>
      </c>
      <c r="C70" s="27"/>
      <c r="D70" s="27"/>
      <c r="E70" s="27"/>
      <c r="F70" s="67"/>
      <c r="G70" s="68"/>
      <c r="H70" s="68"/>
      <c r="I70" s="68"/>
      <c r="J70" s="67"/>
      <c r="K70" s="68"/>
      <c r="L70" s="68"/>
      <c r="M70" s="68"/>
      <c r="N70" s="67"/>
      <c r="O70" s="68"/>
      <c r="P70" s="68"/>
      <c r="Q70" s="68"/>
      <c r="R70" s="67"/>
      <c r="S70" s="68"/>
      <c r="T70" s="68"/>
      <c r="U70" s="68"/>
      <c r="V70" s="69"/>
    </row>
    <row r="71" spans="1:22" ht="55.5" customHeight="1">
      <c r="A71" s="39"/>
      <c r="B71" s="30" t="s">
        <v>317</v>
      </c>
      <c r="C71" s="53">
        <v>815</v>
      </c>
      <c r="D71" s="61" t="s">
        <v>50</v>
      </c>
      <c r="E71" s="66" t="s">
        <v>180</v>
      </c>
      <c r="F71" s="67">
        <f t="shared" si="42"/>
        <v>131069.2</v>
      </c>
      <c r="G71" s="70">
        <v>3932.1</v>
      </c>
      <c r="H71" s="70">
        <v>127137.1</v>
      </c>
      <c r="I71" s="70"/>
      <c r="J71" s="67">
        <f t="shared" ref="J71:J77" si="81">K71+L71+M71</f>
        <v>0</v>
      </c>
      <c r="K71" s="70"/>
      <c r="L71" s="70"/>
      <c r="M71" s="70"/>
      <c r="N71" s="67">
        <f t="shared" ref="N71:N77" si="82">O71+P71+Q71</f>
        <v>83973.6</v>
      </c>
      <c r="O71" s="70">
        <v>2519.1999999999998</v>
      </c>
      <c r="P71" s="70">
        <v>81454.399999999994</v>
      </c>
      <c r="Q71" s="70"/>
      <c r="R71" s="67">
        <f t="shared" ref="R71:R77" si="83">S71+T71+U71</f>
        <v>98511.5</v>
      </c>
      <c r="S71" s="70">
        <v>2955.3</v>
      </c>
      <c r="T71" s="70">
        <v>95556.2</v>
      </c>
      <c r="U71" s="70"/>
      <c r="V71" s="71">
        <f t="shared" si="43"/>
        <v>0</v>
      </c>
    </row>
    <row r="72" spans="1:22" ht="55.5" customHeight="1">
      <c r="A72" s="39"/>
      <c r="B72" s="30" t="s">
        <v>54</v>
      </c>
      <c r="C72" s="53">
        <v>815</v>
      </c>
      <c r="D72" s="61" t="s">
        <v>50</v>
      </c>
      <c r="E72" s="66" t="s">
        <v>224</v>
      </c>
      <c r="F72" s="67">
        <f t="shared" si="42"/>
        <v>474.8</v>
      </c>
      <c r="G72" s="70">
        <v>474.8</v>
      </c>
      <c r="H72" s="70"/>
      <c r="I72" s="70"/>
      <c r="J72" s="67">
        <f t="shared" si="81"/>
        <v>30.4</v>
      </c>
      <c r="K72" s="70">
        <v>30.4</v>
      </c>
      <c r="L72" s="70"/>
      <c r="M72" s="70"/>
      <c r="N72" s="67">
        <f t="shared" si="82"/>
        <v>547.20000000000005</v>
      </c>
      <c r="O72" s="70">
        <v>547.20000000000005</v>
      </c>
      <c r="P72" s="70"/>
      <c r="Q72" s="70"/>
      <c r="R72" s="67">
        <f t="shared" si="83"/>
        <v>864.6</v>
      </c>
      <c r="S72" s="70">
        <v>864.6</v>
      </c>
      <c r="T72" s="70"/>
      <c r="U72" s="70"/>
      <c r="V72" s="71">
        <f t="shared" si="43"/>
        <v>6.4000000000000001E-2</v>
      </c>
    </row>
    <row r="73" spans="1:22" ht="55.5" customHeight="1">
      <c r="A73" s="39"/>
      <c r="B73" s="30" t="s">
        <v>317</v>
      </c>
      <c r="C73" s="53">
        <v>816</v>
      </c>
      <c r="D73" s="61" t="s">
        <v>53</v>
      </c>
      <c r="E73" s="66" t="s">
        <v>180</v>
      </c>
      <c r="F73" s="67">
        <f t="shared" si="42"/>
        <v>17096</v>
      </c>
      <c r="G73" s="70">
        <v>512.9</v>
      </c>
      <c r="H73" s="70">
        <v>16583.099999999999</v>
      </c>
      <c r="I73" s="70"/>
      <c r="J73" s="67">
        <f t="shared" si="81"/>
        <v>0</v>
      </c>
      <c r="K73" s="70"/>
      <c r="L73" s="70"/>
      <c r="M73" s="70"/>
      <c r="N73" s="67">
        <f t="shared" si="82"/>
        <v>11090.8</v>
      </c>
      <c r="O73" s="70">
        <v>332.7</v>
      </c>
      <c r="P73" s="70">
        <v>10758.1</v>
      </c>
      <c r="Q73" s="70"/>
      <c r="R73" s="67">
        <f t="shared" si="83"/>
        <v>10945.8</v>
      </c>
      <c r="S73" s="70">
        <v>328.4</v>
      </c>
      <c r="T73" s="70">
        <v>10617.4</v>
      </c>
      <c r="U73" s="70"/>
      <c r="V73" s="71">
        <f t="shared" si="43"/>
        <v>0</v>
      </c>
    </row>
    <row r="74" spans="1:22" ht="33">
      <c r="A74" s="39"/>
      <c r="B74" s="30" t="s">
        <v>181</v>
      </c>
      <c r="C74" s="53">
        <v>815</v>
      </c>
      <c r="D74" s="61" t="s">
        <v>50</v>
      </c>
      <c r="E74" s="66" t="s">
        <v>182</v>
      </c>
      <c r="F74" s="67">
        <f t="shared" si="42"/>
        <v>11698.7</v>
      </c>
      <c r="G74" s="70">
        <v>351</v>
      </c>
      <c r="H74" s="70">
        <v>11347.7</v>
      </c>
      <c r="I74" s="70"/>
      <c r="J74" s="67">
        <f t="shared" si="81"/>
        <v>0</v>
      </c>
      <c r="K74" s="70"/>
      <c r="L74" s="70"/>
      <c r="M74" s="70"/>
      <c r="N74" s="67">
        <f t="shared" si="82"/>
        <v>17443.5</v>
      </c>
      <c r="O74" s="70">
        <v>523.29999999999995</v>
      </c>
      <c r="P74" s="70">
        <v>16920.2</v>
      </c>
      <c r="Q74" s="70"/>
      <c r="R74" s="67">
        <f t="shared" si="83"/>
        <v>0</v>
      </c>
      <c r="S74" s="70"/>
      <c r="T74" s="70"/>
      <c r="U74" s="70"/>
      <c r="V74" s="71">
        <f t="shared" si="43"/>
        <v>0</v>
      </c>
    </row>
    <row r="75" spans="1:22" ht="53.25" customHeight="1">
      <c r="A75" s="39"/>
      <c r="B75" s="30" t="s">
        <v>250</v>
      </c>
      <c r="C75" s="53">
        <v>815</v>
      </c>
      <c r="D75" s="61" t="s">
        <v>50</v>
      </c>
      <c r="E75" s="39" t="s">
        <v>251</v>
      </c>
      <c r="F75" s="67">
        <f t="shared" si="42"/>
        <v>29458.1</v>
      </c>
      <c r="G75" s="70">
        <v>29458.1</v>
      </c>
      <c r="H75" s="70"/>
      <c r="I75" s="70"/>
      <c r="J75" s="67">
        <f t="shared" si="81"/>
        <v>14726.4</v>
      </c>
      <c r="K75" s="70">
        <v>14726.4</v>
      </c>
      <c r="L75" s="70"/>
      <c r="M75" s="70"/>
      <c r="N75" s="67">
        <f t="shared" si="82"/>
        <v>29315.7</v>
      </c>
      <c r="O75" s="70">
        <v>29315.7</v>
      </c>
      <c r="P75" s="70"/>
      <c r="Q75" s="70"/>
      <c r="R75" s="67">
        <f t="shared" si="83"/>
        <v>40803.4</v>
      </c>
      <c r="S75" s="70">
        <v>40803.4</v>
      </c>
      <c r="T75" s="70"/>
      <c r="U75" s="70"/>
      <c r="V75" s="71">
        <f t="shared" si="43"/>
        <v>0.5</v>
      </c>
    </row>
    <row r="76" spans="1:22" ht="53.25" customHeight="1">
      <c r="A76" s="39"/>
      <c r="B76" s="30" t="s">
        <v>55</v>
      </c>
      <c r="C76" s="53">
        <v>816</v>
      </c>
      <c r="D76" s="61" t="s">
        <v>53</v>
      </c>
      <c r="E76" s="66" t="s">
        <v>234</v>
      </c>
      <c r="F76" s="67">
        <f t="shared" si="42"/>
        <v>3194.1</v>
      </c>
      <c r="G76" s="70">
        <v>3194.1</v>
      </c>
      <c r="H76" s="70"/>
      <c r="I76" s="70"/>
      <c r="J76" s="67">
        <f t="shared" si="81"/>
        <v>398.3</v>
      </c>
      <c r="K76" s="70">
        <v>398.3</v>
      </c>
      <c r="L76" s="70"/>
      <c r="M76" s="70"/>
      <c r="N76" s="67">
        <f t="shared" si="82"/>
        <v>3649.2</v>
      </c>
      <c r="O76" s="70">
        <v>3649.2</v>
      </c>
      <c r="P76" s="70"/>
      <c r="Q76" s="70"/>
      <c r="R76" s="67">
        <f t="shared" si="83"/>
        <v>4390.5</v>
      </c>
      <c r="S76" s="70">
        <v>4390.5</v>
      </c>
      <c r="T76" s="70"/>
      <c r="U76" s="70"/>
      <c r="V76" s="71">
        <f t="shared" si="43"/>
        <v>0.125</v>
      </c>
    </row>
    <row r="77" spans="1:22" ht="33">
      <c r="A77" s="36" t="s">
        <v>56</v>
      </c>
      <c r="B77" s="15" t="s">
        <v>57</v>
      </c>
      <c r="C77" s="6" t="s">
        <v>12</v>
      </c>
      <c r="D77" s="6" t="s">
        <v>12</v>
      </c>
      <c r="E77" s="6" t="s">
        <v>12</v>
      </c>
      <c r="F77" s="67">
        <f t="shared" si="42"/>
        <v>125761.9</v>
      </c>
      <c r="G77" s="68">
        <f>SUM(G79:G84)</f>
        <v>35645.300000000003</v>
      </c>
      <c r="H77" s="68">
        <f>SUM(H79:H84)</f>
        <v>87913.5</v>
      </c>
      <c r="I77" s="68">
        <f>SUM(I79:I84)</f>
        <v>2203.1</v>
      </c>
      <c r="J77" s="67">
        <f t="shared" si="81"/>
        <v>556.1</v>
      </c>
      <c r="K77" s="68">
        <f>SUM(K79:K84)</f>
        <v>16.7</v>
      </c>
      <c r="L77" s="68">
        <f>SUM(L79:L84)</f>
        <v>539.4</v>
      </c>
      <c r="M77" s="68">
        <f>SUM(M79:M84)</f>
        <v>0</v>
      </c>
      <c r="N77" s="67">
        <f t="shared" si="82"/>
        <v>41163.5</v>
      </c>
      <c r="O77" s="68">
        <f>SUM(O79:O84)</f>
        <v>33166.800000000003</v>
      </c>
      <c r="P77" s="68">
        <f>SUM(P79:P84)</f>
        <v>7996.7</v>
      </c>
      <c r="Q77" s="68">
        <f>SUM(Q79:Q84)</f>
        <v>0</v>
      </c>
      <c r="R77" s="67">
        <f t="shared" si="83"/>
        <v>372944.2</v>
      </c>
      <c r="S77" s="68">
        <f>SUM(S79:S84)</f>
        <v>173868.4</v>
      </c>
      <c r="T77" s="68">
        <f>SUM(T79:T84)</f>
        <v>199075.8</v>
      </c>
      <c r="U77" s="68">
        <f>SUM(U79:U84)</f>
        <v>0</v>
      </c>
      <c r="V77" s="69">
        <f t="shared" si="43"/>
        <v>4.0000000000000001E-3</v>
      </c>
    </row>
    <row r="78" spans="1:22" ht="18.75">
      <c r="A78" s="39"/>
      <c r="B78" s="26" t="s">
        <v>15</v>
      </c>
      <c r="C78" s="27"/>
      <c r="D78" s="27"/>
      <c r="E78" s="27"/>
      <c r="F78" s="67"/>
      <c r="G78" s="68"/>
      <c r="H78" s="68"/>
      <c r="I78" s="68"/>
      <c r="J78" s="67"/>
      <c r="K78" s="68"/>
      <c r="L78" s="68"/>
      <c r="M78" s="68"/>
      <c r="N78" s="67"/>
      <c r="O78" s="68"/>
      <c r="P78" s="68"/>
      <c r="Q78" s="68"/>
      <c r="R78" s="67"/>
      <c r="S78" s="68"/>
      <c r="T78" s="68"/>
      <c r="U78" s="68"/>
      <c r="V78" s="69"/>
    </row>
    <row r="79" spans="1:22" ht="75" customHeight="1">
      <c r="A79" s="39"/>
      <c r="B79" s="30" t="s">
        <v>174</v>
      </c>
      <c r="C79" s="53">
        <v>821</v>
      </c>
      <c r="D79" s="61" t="s">
        <v>19</v>
      </c>
      <c r="E79" s="66" t="s">
        <v>175</v>
      </c>
      <c r="F79" s="67">
        <f t="shared" si="42"/>
        <v>11438.6</v>
      </c>
      <c r="G79" s="70">
        <v>278</v>
      </c>
      <c r="H79" s="70">
        <v>8957.5</v>
      </c>
      <c r="I79" s="70">
        <v>2203.1</v>
      </c>
      <c r="J79" s="67">
        <f t="shared" ref="J79:J85" si="84">K79+L79+M79</f>
        <v>0</v>
      </c>
      <c r="K79" s="70"/>
      <c r="L79" s="70"/>
      <c r="M79" s="70"/>
      <c r="N79" s="67">
        <f t="shared" ref="N79:N85" si="85">O79+P79+Q79</f>
        <v>8244.1</v>
      </c>
      <c r="O79" s="70">
        <v>247.4</v>
      </c>
      <c r="P79" s="70">
        <v>7996.7</v>
      </c>
      <c r="Q79" s="70"/>
      <c r="R79" s="67">
        <f t="shared" ref="R79:R85" si="86">S79+T79+U79</f>
        <v>8088</v>
      </c>
      <c r="S79" s="70">
        <v>242.7</v>
      </c>
      <c r="T79" s="70">
        <v>7845.3</v>
      </c>
      <c r="U79" s="70"/>
      <c r="V79" s="71">
        <f t="shared" si="43"/>
        <v>0</v>
      </c>
    </row>
    <row r="80" spans="1:22" ht="70.5" customHeight="1">
      <c r="A80" s="39"/>
      <c r="B80" s="30" t="s">
        <v>179</v>
      </c>
      <c r="C80" s="53">
        <v>815</v>
      </c>
      <c r="D80" s="61" t="s">
        <v>50</v>
      </c>
      <c r="E80" s="66" t="s">
        <v>178</v>
      </c>
      <c r="F80" s="67">
        <f t="shared" si="42"/>
        <v>81397.899999999994</v>
      </c>
      <c r="G80" s="70">
        <v>2441.9</v>
      </c>
      <c r="H80" s="70">
        <v>78956</v>
      </c>
      <c r="I80" s="70"/>
      <c r="J80" s="67">
        <f t="shared" si="84"/>
        <v>556.1</v>
      </c>
      <c r="K80" s="70">
        <v>16.7</v>
      </c>
      <c r="L80" s="70">
        <v>539.4</v>
      </c>
      <c r="M80" s="70"/>
      <c r="N80" s="67">
        <f t="shared" si="85"/>
        <v>0</v>
      </c>
      <c r="O80" s="70"/>
      <c r="P80" s="70"/>
      <c r="Q80" s="70"/>
      <c r="R80" s="67">
        <f t="shared" si="86"/>
        <v>0</v>
      </c>
      <c r="S80" s="70"/>
      <c r="T80" s="70"/>
      <c r="U80" s="70"/>
      <c r="V80" s="71">
        <f t="shared" si="43"/>
        <v>7.0000000000000001E-3</v>
      </c>
    </row>
    <row r="81" spans="1:22" ht="38.25" customHeight="1">
      <c r="A81" s="39"/>
      <c r="B81" s="30" t="s">
        <v>58</v>
      </c>
      <c r="C81" s="53">
        <v>815</v>
      </c>
      <c r="D81" s="61" t="s">
        <v>50</v>
      </c>
      <c r="E81" s="66" t="s">
        <v>225</v>
      </c>
      <c r="F81" s="67">
        <f t="shared" si="42"/>
        <v>7000</v>
      </c>
      <c r="G81" s="70">
        <v>7000</v>
      </c>
      <c r="H81" s="70"/>
      <c r="I81" s="70"/>
      <c r="J81" s="67">
        <f t="shared" si="84"/>
        <v>0</v>
      </c>
      <c r="K81" s="70"/>
      <c r="L81" s="70"/>
      <c r="M81" s="70"/>
      <c r="N81" s="67">
        <f t="shared" si="85"/>
        <v>7000</v>
      </c>
      <c r="O81" s="70">
        <v>7000</v>
      </c>
      <c r="P81" s="70"/>
      <c r="Q81" s="70"/>
      <c r="R81" s="67">
        <f t="shared" si="86"/>
        <v>348757.8</v>
      </c>
      <c r="S81" s="70">
        <v>157527.29999999999</v>
      </c>
      <c r="T81" s="70">
        <v>191230.5</v>
      </c>
      <c r="U81" s="70"/>
      <c r="V81" s="71">
        <f t="shared" si="43"/>
        <v>0</v>
      </c>
    </row>
    <row r="82" spans="1:22" ht="39" customHeight="1">
      <c r="A82" s="39"/>
      <c r="B82" s="30" t="s">
        <v>59</v>
      </c>
      <c r="C82" s="53">
        <v>815</v>
      </c>
      <c r="D82" s="61" t="s">
        <v>50</v>
      </c>
      <c r="E82" s="39" t="s">
        <v>247</v>
      </c>
      <c r="F82" s="67">
        <f t="shared" si="42"/>
        <v>6000</v>
      </c>
      <c r="G82" s="70">
        <v>6000</v>
      </c>
      <c r="H82" s="70"/>
      <c r="I82" s="70"/>
      <c r="J82" s="67">
        <f t="shared" si="84"/>
        <v>0</v>
      </c>
      <c r="K82" s="70"/>
      <c r="L82" s="70"/>
      <c r="M82" s="70"/>
      <c r="N82" s="67">
        <f t="shared" si="85"/>
        <v>6000</v>
      </c>
      <c r="O82" s="70">
        <v>6000</v>
      </c>
      <c r="P82" s="70"/>
      <c r="Q82" s="70"/>
      <c r="R82" s="67">
        <f t="shared" si="86"/>
        <v>0</v>
      </c>
      <c r="S82" s="70"/>
      <c r="T82" s="70"/>
      <c r="U82" s="70"/>
      <c r="V82" s="71">
        <f t="shared" si="43"/>
        <v>0</v>
      </c>
    </row>
    <row r="83" spans="1:22" ht="66">
      <c r="A83" s="39"/>
      <c r="B83" s="30" t="s">
        <v>248</v>
      </c>
      <c r="C83" s="53">
        <v>815</v>
      </c>
      <c r="D83" s="61" t="s">
        <v>50</v>
      </c>
      <c r="E83" s="39" t="s">
        <v>249</v>
      </c>
      <c r="F83" s="67">
        <f t="shared" si="42"/>
        <v>3821</v>
      </c>
      <c r="G83" s="70">
        <v>3821</v>
      </c>
      <c r="H83" s="70"/>
      <c r="I83" s="70"/>
      <c r="J83" s="67">
        <f t="shared" si="84"/>
        <v>0</v>
      </c>
      <c r="K83" s="70"/>
      <c r="L83" s="70"/>
      <c r="M83" s="70"/>
      <c r="N83" s="67">
        <f t="shared" si="85"/>
        <v>3821</v>
      </c>
      <c r="O83" s="70">
        <v>3821</v>
      </c>
      <c r="P83" s="70"/>
      <c r="Q83" s="70"/>
      <c r="R83" s="67">
        <f t="shared" si="86"/>
        <v>0</v>
      </c>
      <c r="S83" s="70"/>
      <c r="T83" s="70"/>
      <c r="U83" s="70"/>
      <c r="V83" s="71">
        <f t="shared" si="43"/>
        <v>0</v>
      </c>
    </row>
    <row r="84" spans="1:22" ht="34.5" customHeight="1">
      <c r="A84" s="39"/>
      <c r="B84" s="30" t="s">
        <v>177</v>
      </c>
      <c r="C84" s="53">
        <v>815</v>
      </c>
      <c r="D84" s="61" t="s">
        <v>50</v>
      </c>
      <c r="E84" s="39" t="s">
        <v>176</v>
      </c>
      <c r="F84" s="67">
        <f t="shared" si="42"/>
        <v>16104.4</v>
      </c>
      <c r="G84" s="70">
        <v>16104.4</v>
      </c>
      <c r="H84" s="70"/>
      <c r="I84" s="70"/>
      <c r="J84" s="67">
        <f t="shared" si="84"/>
        <v>0</v>
      </c>
      <c r="K84" s="70"/>
      <c r="L84" s="70"/>
      <c r="M84" s="70"/>
      <c r="N84" s="67">
        <f t="shared" si="85"/>
        <v>16098.4</v>
      </c>
      <c r="O84" s="70">
        <v>16098.4</v>
      </c>
      <c r="P84" s="70"/>
      <c r="Q84" s="70"/>
      <c r="R84" s="67">
        <f t="shared" si="86"/>
        <v>16098.4</v>
      </c>
      <c r="S84" s="70">
        <v>16098.4</v>
      </c>
      <c r="T84" s="70"/>
      <c r="U84" s="70"/>
      <c r="V84" s="71">
        <f t="shared" si="43"/>
        <v>0</v>
      </c>
    </row>
    <row r="85" spans="1:22" ht="66">
      <c r="A85" s="36" t="s">
        <v>60</v>
      </c>
      <c r="B85" s="15" t="s">
        <v>61</v>
      </c>
      <c r="C85" s="6" t="s">
        <v>12</v>
      </c>
      <c r="D85" s="6" t="s">
        <v>12</v>
      </c>
      <c r="E85" s="6" t="s">
        <v>12</v>
      </c>
      <c r="F85" s="67">
        <f t="shared" si="42"/>
        <v>84230</v>
      </c>
      <c r="G85" s="68">
        <f t="shared" ref="G85:H85" si="87">SUM(G87:G92)</f>
        <v>84230</v>
      </c>
      <c r="H85" s="68">
        <f t="shared" si="87"/>
        <v>0</v>
      </c>
      <c r="I85" s="68">
        <f t="shared" ref="I85" si="88">SUM(I87:I92)</f>
        <v>0</v>
      </c>
      <c r="J85" s="67">
        <f t="shared" si="84"/>
        <v>18464.2</v>
      </c>
      <c r="K85" s="68">
        <f t="shared" ref="K85:M85" si="89">SUM(K87:K92)</f>
        <v>18464.2</v>
      </c>
      <c r="L85" s="68">
        <f t="shared" si="89"/>
        <v>0</v>
      </c>
      <c r="M85" s="68">
        <f t="shared" si="89"/>
        <v>0</v>
      </c>
      <c r="N85" s="67">
        <f t="shared" si="85"/>
        <v>60820</v>
      </c>
      <c r="O85" s="68">
        <f t="shared" ref="O85:T85" si="90">SUM(O87:O92)</f>
        <v>60820</v>
      </c>
      <c r="P85" s="68">
        <f t="shared" si="90"/>
        <v>0</v>
      </c>
      <c r="Q85" s="68">
        <f t="shared" si="90"/>
        <v>0</v>
      </c>
      <c r="R85" s="67">
        <f t="shared" si="86"/>
        <v>60820</v>
      </c>
      <c r="S85" s="68">
        <f t="shared" si="90"/>
        <v>60820</v>
      </c>
      <c r="T85" s="68">
        <f t="shared" si="90"/>
        <v>0</v>
      </c>
      <c r="U85" s="68">
        <f t="shared" ref="U85" si="91">SUM(U87:U92)</f>
        <v>0</v>
      </c>
      <c r="V85" s="69">
        <f t="shared" si="43"/>
        <v>0.219</v>
      </c>
    </row>
    <row r="86" spans="1:22" ht="18.75">
      <c r="A86" s="37"/>
      <c r="B86" s="16" t="s">
        <v>15</v>
      </c>
      <c r="C86" s="7"/>
      <c r="D86" s="7"/>
      <c r="E86" s="7"/>
      <c r="F86" s="67"/>
      <c r="G86" s="68"/>
      <c r="H86" s="68"/>
      <c r="I86" s="68"/>
      <c r="J86" s="67"/>
      <c r="K86" s="68"/>
      <c r="L86" s="68"/>
      <c r="M86" s="68"/>
      <c r="N86" s="67"/>
      <c r="O86" s="68"/>
      <c r="P86" s="68"/>
      <c r="Q86" s="68"/>
      <c r="R86" s="67"/>
      <c r="S86" s="68"/>
      <c r="T86" s="68"/>
      <c r="U86" s="68"/>
      <c r="V86" s="69"/>
    </row>
    <row r="87" spans="1:22" ht="82.5">
      <c r="A87" s="39"/>
      <c r="B87" s="30" t="s">
        <v>228</v>
      </c>
      <c r="C87" s="53">
        <v>816</v>
      </c>
      <c r="D87" s="61" t="s">
        <v>53</v>
      </c>
      <c r="E87" s="53" t="s">
        <v>227</v>
      </c>
      <c r="F87" s="67">
        <f t="shared" si="42"/>
        <v>16630</v>
      </c>
      <c r="G87" s="70">
        <v>16630</v>
      </c>
      <c r="H87" s="70"/>
      <c r="I87" s="70"/>
      <c r="J87" s="67">
        <f t="shared" ref="J87:J92" si="92">K87+L87+M87</f>
        <v>0</v>
      </c>
      <c r="K87" s="70"/>
      <c r="L87" s="70"/>
      <c r="M87" s="70"/>
      <c r="N87" s="67">
        <f t="shared" ref="N87:N92" si="93">O87+P87+Q87</f>
        <v>16630</v>
      </c>
      <c r="O87" s="70">
        <v>16630</v>
      </c>
      <c r="P87" s="70"/>
      <c r="Q87" s="70"/>
      <c r="R87" s="67">
        <f t="shared" ref="R87:R92" si="94">S87+T87+U87</f>
        <v>16630</v>
      </c>
      <c r="S87" s="70">
        <v>16630</v>
      </c>
      <c r="T87" s="70"/>
      <c r="U87" s="70"/>
      <c r="V87" s="71">
        <f t="shared" si="43"/>
        <v>0</v>
      </c>
    </row>
    <row r="88" spans="1:22" ht="42" customHeight="1">
      <c r="A88" s="39"/>
      <c r="B88" s="30" t="s">
        <v>63</v>
      </c>
      <c r="C88" s="53">
        <v>816</v>
      </c>
      <c r="D88" s="61" t="s">
        <v>53</v>
      </c>
      <c r="E88" s="66" t="s">
        <v>235</v>
      </c>
      <c r="F88" s="67">
        <f t="shared" si="42"/>
        <v>45240</v>
      </c>
      <c r="G88" s="70">
        <v>45240</v>
      </c>
      <c r="H88" s="70"/>
      <c r="I88" s="70"/>
      <c r="J88" s="67">
        <f t="shared" si="92"/>
        <v>17000</v>
      </c>
      <c r="K88" s="70">
        <v>17000</v>
      </c>
      <c r="L88" s="70"/>
      <c r="M88" s="70"/>
      <c r="N88" s="67">
        <f t="shared" si="93"/>
        <v>33000</v>
      </c>
      <c r="O88" s="70">
        <v>33000</v>
      </c>
      <c r="P88" s="70"/>
      <c r="Q88" s="70"/>
      <c r="R88" s="67">
        <f t="shared" si="94"/>
        <v>33000</v>
      </c>
      <c r="S88" s="70">
        <v>33000</v>
      </c>
      <c r="T88" s="70"/>
      <c r="U88" s="70"/>
      <c r="V88" s="71">
        <f t="shared" si="43"/>
        <v>0.376</v>
      </c>
    </row>
    <row r="89" spans="1:22" ht="66">
      <c r="A89" s="39"/>
      <c r="B89" s="30" t="s">
        <v>62</v>
      </c>
      <c r="C89" s="53">
        <v>816</v>
      </c>
      <c r="D89" s="61" t="s">
        <v>53</v>
      </c>
      <c r="E89" s="66" t="s">
        <v>229</v>
      </c>
      <c r="F89" s="67">
        <f t="shared" si="42"/>
        <v>11170</v>
      </c>
      <c r="G89" s="70">
        <v>11170</v>
      </c>
      <c r="H89" s="70"/>
      <c r="I89" s="70"/>
      <c r="J89" s="67">
        <f t="shared" si="92"/>
        <v>9.8000000000000007</v>
      </c>
      <c r="K89" s="70">
        <v>9.8000000000000007</v>
      </c>
      <c r="L89" s="70"/>
      <c r="M89" s="70"/>
      <c r="N89" s="67">
        <f t="shared" si="93"/>
        <v>0</v>
      </c>
      <c r="O89" s="70"/>
      <c r="P89" s="70"/>
      <c r="Q89" s="70"/>
      <c r="R89" s="67">
        <f t="shared" si="94"/>
        <v>0</v>
      </c>
      <c r="S89" s="70"/>
      <c r="T89" s="70"/>
      <c r="U89" s="70"/>
      <c r="V89" s="71">
        <f t="shared" si="43"/>
        <v>1E-3</v>
      </c>
    </row>
    <row r="90" spans="1:22" ht="82.5">
      <c r="A90" s="39"/>
      <c r="B90" s="30" t="s">
        <v>64</v>
      </c>
      <c r="C90" s="53">
        <v>816</v>
      </c>
      <c r="D90" s="61" t="s">
        <v>53</v>
      </c>
      <c r="E90" s="66" t="s">
        <v>230</v>
      </c>
      <c r="F90" s="67">
        <f t="shared" si="42"/>
        <v>11170</v>
      </c>
      <c r="G90" s="70">
        <v>11170</v>
      </c>
      <c r="H90" s="70"/>
      <c r="I90" s="70"/>
      <c r="J90" s="67">
        <f t="shared" si="92"/>
        <v>1454.4</v>
      </c>
      <c r="K90" s="70">
        <v>1454.4</v>
      </c>
      <c r="L90" s="70"/>
      <c r="M90" s="70"/>
      <c r="N90" s="67">
        <f t="shared" si="93"/>
        <v>11170</v>
      </c>
      <c r="O90" s="70">
        <v>11170</v>
      </c>
      <c r="P90" s="70"/>
      <c r="Q90" s="70"/>
      <c r="R90" s="67">
        <f t="shared" si="94"/>
        <v>11170</v>
      </c>
      <c r="S90" s="70">
        <v>11170</v>
      </c>
      <c r="T90" s="70"/>
      <c r="U90" s="70"/>
      <c r="V90" s="71">
        <f t="shared" si="43"/>
        <v>0.13</v>
      </c>
    </row>
    <row r="91" spans="1:22" ht="91.5" customHeight="1">
      <c r="A91" s="39"/>
      <c r="B91" s="59" t="s">
        <v>65</v>
      </c>
      <c r="C91" s="53">
        <v>816</v>
      </c>
      <c r="D91" s="61" t="s">
        <v>53</v>
      </c>
      <c r="E91" s="66" t="s">
        <v>226</v>
      </c>
      <c r="F91" s="67">
        <f t="shared" si="42"/>
        <v>20</v>
      </c>
      <c r="G91" s="70">
        <v>20</v>
      </c>
      <c r="H91" s="70"/>
      <c r="I91" s="70"/>
      <c r="J91" s="67">
        <f t="shared" si="92"/>
        <v>0</v>
      </c>
      <c r="K91" s="70"/>
      <c r="L91" s="70"/>
      <c r="M91" s="70"/>
      <c r="N91" s="67">
        <f t="shared" si="93"/>
        <v>20</v>
      </c>
      <c r="O91" s="70">
        <v>20</v>
      </c>
      <c r="P91" s="70"/>
      <c r="Q91" s="70"/>
      <c r="R91" s="67">
        <f t="shared" si="94"/>
        <v>20</v>
      </c>
      <c r="S91" s="70">
        <v>20</v>
      </c>
      <c r="T91" s="70"/>
      <c r="U91" s="70"/>
      <c r="V91" s="71">
        <f t="shared" si="43"/>
        <v>0</v>
      </c>
    </row>
    <row r="92" spans="1:22" ht="56.25" customHeight="1">
      <c r="A92" s="39"/>
      <c r="B92" s="59" t="s">
        <v>66</v>
      </c>
      <c r="C92" s="53">
        <v>816</v>
      </c>
      <c r="D92" s="61" t="s">
        <v>53</v>
      </c>
      <c r="E92" s="66" t="s">
        <v>231</v>
      </c>
      <c r="F92" s="67">
        <f t="shared" ref="F92:F132" si="95">G92+H92+I92</f>
        <v>0</v>
      </c>
      <c r="G92" s="70">
        <v>0</v>
      </c>
      <c r="H92" s="70"/>
      <c r="I92" s="70"/>
      <c r="J92" s="67">
        <f t="shared" si="92"/>
        <v>0</v>
      </c>
      <c r="K92" s="70"/>
      <c r="L92" s="70"/>
      <c r="M92" s="70"/>
      <c r="N92" s="67">
        <f t="shared" si="93"/>
        <v>0</v>
      </c>
      <c r="O92" s="70"/>
      <c r="P92" s="70"/>
      <c r="Q92" s="70"/>
      <c r="R92" s="67">
        <f t="shared" si="94"/>
        <v>0</v>
      </c>
      <c r="S92" s="70"/>
      <c r="T92" s="70"/>
      <c r="U92" s="70"/>
      <c r="V92" s="71"/>
    </row>
    <row r="93" spans="1:22" ht="28.5" customHeight="1">
      <c r="A93" s="38" t="s">
        <v>67</v>
      </c>
      <c r="B93" s="22" t="s">
        <v>68</v>
      </c>
      <c r="C93" s="1" t="s">
        <v>12</v>
      </c>
      <c r="D93" s="1" t="s">
        <v>12</v>
      </c>
      <c r="E93" s="1" t="s">
        <v>12</v>
      </c>
      <c r="F93" s="73">
        <f t="shared" si="95"/>
        <v>58677.7</v>
      </c>
      <c r="G93" s="73">
        <f>G94+G97+G100+G104+G110</f>
        <v>38346.199999999997</v>
      </c>
      <c r="H93" s="73">
        <f>H94+H97+H100+H104+H110</f>
        <v>20331.5</v>
      </c>
      <c r="I93" s="73">
        <f>I94+I97+I100+I104+I110</f>
        <v>0</v>
      </c>
      <c r="J93" s="73">
        <f t="shared" ref="J93:J94" si="96">K93+L93+M93</f>
        <v>3348.6</v>
      </c>
      <c r="K93" s="73">
        <f>K94+K97+K100+K104+K110</f>
        <v>3348.6</v>
      </c>
      <c r="L93" s="73">
        <f>L94+L97+L100+L104+L110</f>
        <v>0</v>
      </c>
      <c r="M93" s="73">
        <f>M94+M97+M100+M104+M110</f>
        <v>0</v>
      </c>
      <c r="N93" s="73">
        <f t="shared" ref="N93:N94" si="97">O93+P93+Q93</f>
        <v>50781.4</v>
      </c>
      <c r="O93" s="73">
        <f>O94+O97+O100+O104+O110</f>
        <v>16311.1</v>
      </c>
      <c r="P93" s="73">
        <f>P94+P97+P100+P104+P110</f>
        <v>34470.300000000003</v>
      </c>
      <c r="Q93" s="73">
        <f>Q94+Q97+Q100+Q104+Q110</f>
        <v>0</v>
      </c>
      <c r="R93" s="73">
        <f t="shared" ref="R93:R94" si="98">S93+T93+U93</f>
        <v>88625.8</v>
      </c>
      <c r="S93" s="73">
        <f>S94+S97+S100+S104+S110</f>
        <v>15451</v>
      </c>
      <c r="T93" s="73">
        <f>T94+T97+T100+T104+T110</f>
        <v>73174.8</v>
      </c>
      <c r="U93" s="73">
        <f>U94+U97+U100+U104+U110</f>
        <v>0</v>
      </c>
      <c r="V93" s="74">
        <f t="shared" ref="V93:V132" si="99">J93/F93</f>
        <v>5.7000000000000002E-2</v>
      </c>
    </row>
    <row r="94" spans="1:22" ht="33">
      <c r="A94" s="36" t="s">
        <v>69</v>
      </c>
      <c r="B94" s="15" t="s">
        <v>70</v>
      </c>
      <c r="C94" s="6" t="s">
        <v>12</v>
      </c>
      <c r="D94" s="6" t="s">
        <v>12</v>
      </c>
      <c r="E94" s="6" t="s">
        <v>12</v>
      </c>
      <c r="F94" s="68">
        <f t="shared" si="95"/>
        <v>122.4</v>
      </c>
      <c r="G94" s="68">
        <f>SUM(G96:G96)</f>
        <v>122.4</v>
      </c>
      <c r="H94" s="68">
        <f>SUM(H96:H96)</f>
        <v>0</v>
      </c>
      <c r="I94" s="68">
        <f>SUM(I96:I96)</f>
        <v>0</v>
      </c>
      <c r="J94" s="68">
        <f t="shared" si="96"/>
        <v>0</v>
      </c>
      <c r="K94" s="68">
        <f>SUM(K96:K96)</f>
        <v>0</v>
      </c>
      <c r="L94" s="68">
        <f>SUM(L96:L96)</f>
        <v>0</v>
      </c>
      <c r="M94" s="68">
        <f>SUM(M96:M96)</f>
        <v>0</v>
      </c>
      <c r="N94" s="67">
        <f t="shared" si="97"/>
        <v>0</v>
      </c>
      <c r="O94" s="68">
        <f>SUM(O96:O96)</f>
        <v>0</v>
      </c>
      <c r="P94" s="68">
        <f>SUM(P96:P96)</f>
        <v>0</v>
      </c>
      <c r="Q94" s="68">
        <f>SUM(Q96:Q96)</f>
        <v>0</v>
      </c>
      <c r="R94" s="67">
        <f t="shared" si="98"/>
        <v>0</v>
      </c>
      <c r="S94" s="68">
        <f>SUM(S96:S96)</f>
        <v>0</v>
      </c>
      <c r="T94" s="68">
        <f>SUM(T96:T96)</f>
        <v>0</v>
      </c>
      <c r="U94" s="68">
        <f>SUM(U96:U96)</f>
        <v>0</v>
      </c>
      <c r="V94" s="72">
        <f t="shared" si="99"/>
        <v>0</v>
      </c>
    </row>
    <row r="95" spans="1:22" ht="18.75">
      <c r="A95" s="33"/>
      <c r="B95" s="28" t="s">
        <v>15</v>
      </c>
      <c r="C95" s="25"/>
      <c r="D95" s="25"/>
      <c r="E95" s="25"/>
      <c r="F95" s="68"/>
      <c r="G95" s="68"/>
      <c r="H95" s="68"/>
      <c r="I95" s="68"/>
      <c r="J95" s="68"/>
      <c r="K95" s="68"/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72"/>
    </row>
    <row r="96" spans="1:22" ht="129" customHeight="1">
      <c r="A96" s="39"/>
      <c r="B96" s="30" t="s">
        <v>256</v>
      </c>
      <c r="C96" s="53">
        <v>815</v>
      </c>
      <c r="D96" s="61" t="s">
        <v>50</v>
      </c>
      <c r="E96" s="66" t="s">
        <v>257</v>
      </c>
      <c r="F96" s="67">
        <f t="shared" si="95"/>
        <v>122.4</v>
      </c>
      <c r="G96" s="70">
        <v>122.4</v>
      </c>
      <c r="H96" s="70"/>
      <c r="I96" s="70"/>
      <c r="J96" s="67">
        <f t="shared" ref="J96:J97" si="100">K96+L96+M96</f>
        <v>0</v>
      </c>
      <c r="K96" s="70"/>
      <c r="L96" s="70"/>
      <c r="M96" s="70"/>
      <c r="N96" s="68">
        <f t="shared" ref="N96:N97" si="101">O96+P96+Q96</f>
        <v>0</v>
      </c>
      <c r="O96" s="70"/>
      <c r="P96" s="70"/>
      <c r="Q96" s="70"/>
      <c r="R96" s="68">
        <f t="shared" ref="R96:R97" si="102">S96+T96+U96</f>
        <v>0</v>
      </c>
      <c r="S96" s="70"/>
      <c r="T96" s="70"/>
      <c r="U96" s="70"/>
      <c r="V96" s="78">
        <f t="shared" si="99"/>
        <v>0</v>
      </c>
    </row>
    <row r="97" spans="1:22" ht="18.75">
      <c r="A97" s="33" t="s">
        <v>71</v>
      </c>
      <c r="B97" s="24" t="s">
        <v>72</v>
      </c>
      <c r="C97" s="25" t="s">
        <v>12</v>
      </c>
      <c r="D97" s="25" t="s">
        <v>12</v>
      </c>
      <c r="E97" s="25" t="s">
        <v>12</v>
      </c>
      <c r="F97" s="67">
        <f t="shared" si="95"/>
        <v>20000</v>
      </c>
      <c r="G97" s="68">
        <f>SUM(G99:G99)</f>
        <v>20000</v>
      </c>
      <c r="H97" s="68">
        <f>SUM(H99:H99)</f>
        <v>0</v>
      </c>
      <c r="I97" s="68">
        <f>SUM(I99:I99)</f>
        <v>0</v>
      </c>
      <c r="J97" s="67">
        <f t="shared" si="100"/>
        <v>0</v>
      </c>
      <c r="K97" s="68">
        <f>SUM(K99:K99)</f>
        <v>0</v>
      </c>
      <c r="L97" s="68">
        <f>SUM(L99:L99)</f>
        <v>0</v>
      </c>
      <c r="M97" s="68">
        <f>SUM(M99:M99)</f>
        <v>0</v>
      </c>
      <c r="N97" s="68">
        <f t="shared" si="101"/>
        <v>0</v>
      </c>
      <c r="O97" s="68">
        <f>SUM(O99:O99)</f>
        <v>0</v>
      </c>
      <c r="P97" s="68">
        <f>SUM(P99:P99)</f>
        <v>0</v>
      </c>
      <c r="Q97" s="68">
        <f>SUM(Q99:Q99)</f>
        <v>0</v>
      </c>
      <c r="R97" s="68">
        <f t="shared" si="102"/>
        <v>0</v>
      </c>
      <c r="S97" s="68">
        <f>SUM(S99:S99)</f>
        <v>0</v>
      </c>
      <c r="T97" s="68">
        <f>SUM(T99:T99)</f>
        <v>0</v>
      </c>
      <c r="U97" s="68">
        <f>SUM(U99:U99)</f>
        <v>0</v>
      </c>
      <c r="V97" s="72">
        <f t="shared" si="99"/>
        <v>0</v>
      </c>
    </row>
    <row r="98" spans="1:22" ht="18.75">
      <c r="A98" s="39"/>
      <c r="B98" s="28" t="s">
        <v>15</v>
      </c>
      <c r="C98" s="27"/>
      <c r="D98" s="29"/>
      <c r="E98" s="34"/>
      <c r="F98" s="67"/>
      <c r="G98" s="68"/>
      <c r="H98" s="68"/>
      <c r="I98" s="68"/>
      <c r="J98" s="67"/>
      <c r="K98" s="68"/>
      <c r="L98" s="68"/>
      <c r="M98" s="68"/>
      <c r="N98" s="68"/>
      <c r="O98" s="68"/>
      <c r="P98" s="68"/>
      <c r="Q98" s="68"/>
      <c r="R98" s="68"/>
      <c r="S98" s="68"/>
      <c r="T98" s="68"/>
      <c r="U98" s="68"/>
      <c r="V98" s="72"/>
    </row>
    <row r="99" spans="1:22" ht="66">
      <c r="A99" s="39"/>
      <c r="B99" s="30" t="s">
        <v>73</v>
      </c>
      <c r="C99" s="53">
        <v>840</v>
      </c>
      <c r="D99" s="61" t="s">
        <v>74</v>
      </c>
      <c r="E99" s="66" t="s">
        <v>240</v>
      </c>
      <c r="F99" s="67">
        <f t="shared" si="95"/>
        <v>20000</v>
      </c>
      <c r="G99" s="70">
        <v>20000</v>
      </c>
      <c r="H99" s="70"/>
      <c r="I99" s="70"/>
      <c r="J99" s="67">
        <f t="shared" ref="J99:J100" si="103">K99+L99+M99</f>
        <v>0</v>
      </c>
      <c r="K99" s="70"/>
      <c r="L99" s="70"/>
      <c r="M99" s="70"/>
      <c r="N99" s="68">
        <f t="shared" ref="N99:N100" si="104">O99+P99+Q99</f>
        <v>0</v>
      </c>
      <c r="O99" s="70"/>
      <c r="P99" s="70"/>
      <c r="Q99" s="70"/>
      <c r="R99" s="68">
        <f t="shared" ref="R99:R100" si="105">S99+T99+U99</f>
        <v>0</v>
      </c>
      <c r="S99" s="70"/>
      <c r="T99" s="70"/>
      <c r="U99" s="70"/>
      <c r="V99" s="78">
        <f t="shared" si="99"/>
        <v>0</v>
      </c>
    </row>
    <row r="100" spans="1:22" ht="33">
      <c r="A100" s="33" t="s">
        <v>75</v>
      </c>
      <c r="B100" s="24" t="s">
        <v>76</v>
      </c>
      <c r="C100" s="25" t="s">
        <v>12</v>
      </c>
      <c r="D100" s="25" t="s">
        <v>12</v>
      </c>
      <c r="E100" s="25" t="s">
        <v>12</v>
      </c>
      <c r="F100" s="67">
        <f t="shared" si="95"/>
        <v>0</v>
      </c>
      <c r="G100" s="68">
        <f>SUM(G102:G103)</f>
        <v>0</v>
      </c>
      <c r="H100" s="68">
        <f>SUM(H102:H103)</f>
        <v>0</v>
      </c>
      <c r="I100" s="68">
        <f>SUM(I102:I103)</f>
        <v>0</v>
      </c>
      <c r="J100" s="67">
        <f t="shared" si="103"/>
        <v>0</v>
      </c>
      <c r="K100" s="68">
        <f>SUM(K102:K103)</f>
        <v>0</v>
      </c>
      <c r="L100" s="68">
        <f>SUM(L102:L103)</f>
        <v>0</v>
      </c>
      <c r="M100" s="68">
        <f>SUM(M102:M103)</f>
        <v>0</v>
      </c>
      <c r="N100" s="68">
        <f t="shared" si="104"/>
        <v>0</v>
      </c>
      <c r="O100" s="68">
        <f>SUM(O102:O103)</f>
        <v>0</v>
      </c>
      <c r="P100" s="68">
        <f>SUM(P102:P103)</f>
        <v>0</v>
      </c>
      <c r="Q100" s="68">
        <f>SUM(Q102:Q103)</f>
        <v>0</v>
      </c>
      <c r="R100" s="68">
        <f t="shared" si="105"/>
        <v>0</v>
      </c>
      <c r="S100" s="68">
        <f>SUM(S102:S103)</f>
        <v>0</v>
      </c>
      <c r="T100" s="68">
        <f>SUM(T102:T103)</f>
        <v>0</v>
      </c>
      <c r="U100" s="68">
        <f>SUM(U102:U103)</f>
        <v>0</v>
      </c>
      <c r="V100" s="72"/>
    </row>
    <row r="101" spans="1:22" ht="18.75">
      <c r="A101" s="39"/>
      <c r="B101" s="28" t="s">
        <v>15</v>
      </c>
      <c r="C101" s="27"/>
      <c r="D101" s="29"/>
      <c r="E101" s="34"/>
      <c r="F101" s="67"/>
      <c r="G101" s="68"/>
      <c r="H101" s="68"/>
      <c r="I101" s="68"/>
      <c r="J101" s="67"/>
      <c r="K101" s="68"/>
      <c r="L101" s="68"/>
      <c r="M101" s="68"/>
      <c r="N101" s="68"/>
      <c r="O101" s="68"/>
      <c r="P101" s="68"/>
      <c r="Q101" s="68"/>
      <c r="R101" s="68"/>
      <c r="S101" s="68"/>
      <c r="T101" s="68"/>
      <c r="U101" s="68"/>
      <c r="V101" s="72"/>
    </row>
    <row r="102" spans="1:22" ht="49.5">
      <c r="A102" s="39"/>
      <c r="B102" s="30" t="s">
        <v>212</v>
      </c>
      <c r="C102" s="53">
        <v>804</v>
      </c>
      <c r="D102" s="61" t="s">
        <v>77</v>
      </c>
      <c r="E102" s="39" t="s">
        <v>211</v>
      </c>
      <c r="F102" s="67">
        <f t="shared" si="95"/>
        <v>0</v>
      </c>
      <c r="G102" s="70"/>
      <c r="H102" s="70"/>
      <c r="I102" s="70"/>
      <c r="J102" s="67">
        <f t="shared" ref="J102:J104" si="106">K102+L102+M102</f>
        <v>0</v>
      </c>
      <c r="K102" s="70"/>
      <c r="L102" s="70"/>
      <c r="M102" s="70"/>
      <c r="N102" s="68">
        <f t="shared" ref="N102:N104" si="107">O102+P102+Q102</f>
        <v>0</v>
      </c>
      <c r="O102" s="70"/>
      <c r="P102" s="70"/>
      <c r="Q102" s="70"/>
      <c r="R102" s="68">
        <f t="shared" ref="R102:R104" si="108">S102+T102+U102</f>
        <v>0</v>
      </c>
      <c r="S102" s="70"/>
      <c r="T102" s="70"/>
      <c r="U102" s="70"/>
      <c r="V102" s="78"/>
    </row>
    <row r="103" spans="1:22" ht="66">
      <c r="A103" s="39"/>
      <c r="B103" s="30" t="s">
        <v>214</v>
      </c>
      <c r="C103" s="53">
        <v>804</v>
      </c>
      <c r="D103" s="61" t="s">
        <v>77</v>
      </c>
      <c r="E103" s="39" t="s">
        <v>213</v>
      </c>
      <c r="F103" s="67">
        <f t="shared" si="95"/>
        <v>0</v>
      </c>
      <c r="G103" s="70"/>
      <c r="H103" s="70"/>
      <c r="I103" s="70"/>
      <c r="J103" s="67">
        <f t="shared" si="106"/>
        <v>0</v>
      </c>
      <c r="K103" s="70"/>
      <c r="L103" s="70"/>
      <c r="M103" s="70"/>
      <c r="N103" s="68">
        <f t="shared" si="107"/>
        <v>0</v>
      </c>
      <c r="O103" s="70"/>
      <c r="P103" s="70"/>
      <c r="Q103" s="70"/>
      <c r="R103" s="68">
        <f t="shared" si="108"/>
        <v>0</v>
      </c>
      <c r="S103" s="70"/>
      <c r="T103" s="70"/>
      <c r="U103" s="70"/>
      <c r="V103" s="78"/>
    </row>
    <row r="104" spans="1:22" ht="33">
      <c r="A104" s="36" t="s">
        <v>78</v>
      </c>
      <c r="B104" s="15" t="s">
        <v>79</v>
      </c>
      <c r="C104" s="6" t="s">
        <v>12</v>
      </c>
      <c r="D104" s="6" t="s">
        <v>12</v>
      </c>
      <c r="E104" s="6" t="s">
        <v>12</v>
      </c>
      <c r="F104" s="68">
        <f t="shared" si="95"/>
        <v>17595</v>
      </c>
      <c r="G104" s="68">
        <f>SUM(G106:G109)</f>
        <v>17595</v>
      </c>
      <c r="H104" s="68">
        <f>SUM(H106:H109)</f>
        <v>0</v>
      </c>
      <c r="I104" s="68">
        <f>SUM(I106:I109)</f>
        <v>0</v>
      </c>
      <c r="J104" s="68">
        <f t="shared" si="106"/>
        <v>3348.6</v>
      </c>
      <c r="K104" s="68">
        <f>SUM(K106:K109)</f>
        <v>3348.6</v>
      </c>
      <c r="L104" s="68">
        <f>SUM(L106:L109)</f>
        <v>0</v>
      </c>
      <c r="M104" s="68">
        <f>SUM(M106:M109)</f>
        <v>0</v>
      </c>
      <c r="N104" s="67">
        <f t="shared" si="107"/>
        <v>15245</v>
      </c>
      <c r="O104" s="68">
        <f>SUM(O106:O109)</f>
        <v>15245</v>
      </c>
      <c r="P104" s="68">
        <f>SUM(P106:P109)</f>
        <v>0</v>
      </c>
      <c r="Q104" s="68">
        <f>SUM(Q106:Q109)</f>
        <v>0</v>
      </c>
      <c r="R104" s="67">
        <f t="shared" si="108"/>
        <v>15245</v>
      </c>
      <c r="S104" s="68">
        <f>SUM(S106:S109)</f>
        <v>15245</v>
      </c>
      <c r="T104" s="68">
        <f>SUM(T106:T109)</f>
        <v>0</v>
      </c>
      <c r="U104" s="68">
        <f>SUM(U106:U109)</f>
        <v>0</v>
      </c>
      <c r="V104" s="72">
        <f t="shared" si="99"/>
        <v>0.19</v>
      </c>
    </row>
    <row r="105" spans="1:22" ht="18.75">
      <c r="A105" s="37"/>
      <c r="B105" s="18" t="s">
        <v>15</v>
      </c>
      <c r="C105" s="7"/>
      <c r="D105" s="8"/>
      <c r="E105" s="10"/>
      <c r="F105" s="68"/>
      <c r="G105" s="68"/>
      <c r="H105" s="68"/>
      <c r="I105" s="68"/>
      <c r="J105" s="68"/>
      <c r="K105" s="68"/>
      <c r="L105" s="68"/>
      <c r="M105" s="68"/>
      <c r="N105" s="67"/>
      <c r="O105" s="68"/>
      <c r="P105" s="68"/>
      <c r="Q105" s="68"/>
      <c r="R105" s="67"/>
      <c r="S105" s="68"/>
      <c r="T105" s="68"/>
      <c r="U105" s="68"/>
      <c r="V105" s="72"/>
    </row>
    <row r="106" spans="1:22" ht="66" customHeight="1">
      <c r="A106" s="39"/>
      <c r="B106" s="30" t="s">
        <v>80</v>
      </c>
      <c r="C106" s="53">
        <v>804</v>
      </c>
      <c r="D106" s="61" t="s">
        <v>77</v>
      </c>
      <c r="E106" s="39" t="s">
        <v>209</v>
      </c>
      <c r="F106" s="67">
        <f t="shared" si="95"/>
        <v>1600</v>
      </c>
      <c r="G106" s="70">
        <v>1600</v>
      </c>
      <c r="H106" s="70"/>
      <c r="I106" s="70"/>
      <c r="J106" s="68">
        <f t="shared" ref="J106:J110" si="109">K106+L106+M106</f>
        <v>517.6</v>
      </c>
      <c r="K106" s="70">
        <v>517.6</v>
      </c>
      <c r="L106" s="70"/>
      <c r="M106" s="70"/>
      <c r="N106" s="68">
        <f t="shared" ref="N106:N110" si="110">O106+P106+Q106</f>
        <v>1600</v>
      </c>
      <c r="O106" s="70">
        <v>1600</v>
      </c>
      <c r="P106" s="70"/>
      <c r="Q106" s="70"/>
      <c r="R106" s="68">
        <f t="shared" ref="R106:R110" si="111">S106+T106+U106</f>
        <v>1600</v>
      </c>
      <c r="S106" s="70">
        <v>1600</v>
      </c>
      <c r="T106" s="70"/>
      <c r="U106" s="70"/>
      <c r="V106" s="78">
        <f t="shared" si="99"/>
        <v>0.32400000000000001</v>
      </c>
    </row>
    <row r="107" spans="1:22" ht="127.5" customHeight="1">
      <c r="A107" s="39"/>
      <c r="B107" s="30" t="s">
        <v>81</v>
      </c>
      <c r="C107" s="53">
        <v>804</v>
      </c>
      <c r="D107" s="61" t="s">
        <v>77</v>
      </c>
      <c r="E107" s="39" t="s">
        <v>210</v>
      </c>
      <c r="F107" s="67">
        <f t="shared" si="95"/>
        <v>7819</v>
      </c>
      <c r="G107" s="70">
        <v>7819</v>
      </c>
      <c r="H107" s="70"/>
      <c r="I107" s="70"/>
      <c r="J107" s="68">
        <f t="shared" si="109"/>
        <v>0</v>
      </c>
      <c r="K107" s="70"/>
      <c r="L107" s="70"/>
      <c r="M107" s="70"/>
      <c r="N107" s="68">
        <f t="shared" si="110"/>
        <v>7819</v>
      </c>
      <c r="O107" s="70">
        <v>7819</v>
      </c>
      <c r="P107" s="70"/>
      <c r="Q107" s="70"/>
      <c r="R107" s="68">
        <f t="shared" si="111"/>
        <v>7819</v>
      </c>
      <c r="S107" s="70">
        <v>7819</v>
      </c>
      <c r="T107" s="70"/>
      <c r="U107" s="70"/>
      <c r="V107" s="78">
        <f t="shared" si="99"/>
        <v>0</v>
      </c>
    </row>
    <row r="108" spans="1:22" ht="72.75" customHeight="1">
      <c r="A108" s="39"/>
      <c r="B108" s="30" t="s">
        <v>138</v>
      </c>
      <c r="C108" s="53">
        <v>804</v>
      </c>
      <c r="D108" s="61" t="s">
        <v>77</v>
      </c>
      <c r="E108" s="39" t="s">
        <v>208</v>
      </c>
      <c r="F108" s="67">
        <f t="shared" si="95"/>
        <v>4280</v>
      </c>
      <c r="G108" s="70">
        <f>1630+2650</f>
        <v>4280</v>
      </c>
      <c r="H108" s="70"/>
      <c r="I108" s="70"/>
      <c r="J108" s="68">
        <f t="shared" si="109"/>
        <v>0</v>
      </c>
      <c r="K108" s="70"/>
      <c r="L108" s="70"/>
      <c r="M108" s="70"/>
      <c r="N108" s="68">
        <f t="shared" si="110"/>
        <v>1930</v>
      </c>
      <c r="O108" s="70">
        <f>630+1300</f>
        <v>1930</v>
      </c>
      <c r="P108" s="70"/>
      <c r="Q108" s="70"/>
      <c r="R108" s="68">
        <f t="shared" si="111"/>
        <v>1930</v>
      </c>
      <c r="S108" s="70">
        <f>630+1300</f>
        <v>1930</v>
      </c>
      <c r="T108" s="70"/>
      <c r="U108" s="70"/>
      <c r="V108" s="78">
        <f t="shared" si="99"/>
        <v>0</v>
      </c>
    </row>
    <row r="109" spans="1:22" ht="141" customHeight="1">
      <c r="A109" s="39"/>
      <c r="B109" s="30" t="s">
        <v>207</v>
      </c>
      <c r="C109" s="53">
        <v>804</v>
      </c>
      <c r="D109" s="61" t="s">
        <v>77</v>
      </c>
      <c r="E109" s="39" t="s">
        <v>206</v>
      </c>
      <c r="F109" s="67">
        <f t="shared" si="95"/>
        <v>3896</v>
      </c>
      <c r="G109" s="70">
        <v>3896</v>
      </c>
      <c r="H109" s="70"/>
      <c r="I109" s="70"/>
      <c r="J109" s="68">
        <f t="shared" si="109"/>
        <v>2831</v>
      </c>
      <c r="K109" s="70">
        <v>2831</v>
      </c>
      <c r="L109" s="70"/>
      <c r="M109" s="70"/>
      <c r="N109" s="68">
        <f t="shared" si="110"/>
        <v>3896</v>
      </c>
      <c r="O109" s="70">
        <v>3896</v>
      </c>
      <c r="P109" s="70"/>
      <c r="Q109" s="70"/>
      <c r="R109" s="68">
        <f t="shared" si="111"/>
        <v>3896</v>
      </c>
      <c r="S109" s="70">
        <v>3896</v>
      </c>
      <c r="T109" s="70"/>
      <c r="U109" s="70"/>
      <c r="V109" s="78">
        <f t="shared" si="99"/>
        <v>0.72699999999999998</v>
      </c>
    </row>
    <row r="110" spans="1:22" ht="33">
      <c r="A110" s="33" t="s">
        <v>82</v>
      </c>
      <c r="B110" s="24" t="s">
        <v>83</v>
      </c>
      <c r="C110" s="25" t="s">
        <v>12</v>
      </c>
      <c r="D110" s="25" t="s">
        <v>12</v>
      </c>
      <c r="E110" s="6" t="s">
        <v>12</v>
      </c>
      <c r="F110" s="67">
        <f t="shared" si="95"/>
        <v>20960.3</v>
      </c>
      <c r="G110" s="68">
        <f>SUM(G112:G113)</f>
        <v>628.79999999999995</v>
      </c>
      <c r="H110" s="68">
        <f>SUM(H112:H113)</f>
        <v>20331.5</v>
      </c>
      <c r="I110" s="68">
        <f>SUM(I112:I113)</f>
        <v>0</v>
      </c>
      <c r="J110" s="67">
        <f t="shared" si="109"/>
        <v>0</v>
      </c>
      <c r="K110" s="68">
        <f>SUM(K112:K113)</f>
        <v>0</v>
      </c>
      <c r="L110" s="68">
        <f>SUM(L112:L113)</f>
        <v>0</v>
      </c>
      <c r="M110" s="68">
        <f>SUM(M112:M113)</f>
        <v>0</v>
      </c>
      <c r="N110" s="67">
        <f t="shared" si="110"/>
        <v>35536.400000000001</v>
      </c>
      <c r="O110" s="68">
        <f>SUM(O112:O113)</f>
        <v>1066.0999999999999</v>
      </c>
      <c r="P110" s="68">
        <f>SUM(P112:P113)</f>
        <v>34470.300000000003</v>
      </c>
      <c r="Q110" s="68">
        <f>SUM(Q112:Q113)</f>
        <v>0</v>
      </c>
      <c r="R110" s="67">
        <f t="shared" si="111"/>
        <v>73380.800000000003</v>
      </c>
      <c r="S110" s="68">
        <f>SUM(S112:S113)</f>
        <v>206</v>
      </c>
      <c r="T110" s="68">
        <f>SUM(T112:T113)</f>
        <v>73174.8</v>
      </c>
      <c r="U110" s="68">
        <f>SUM(U112:U113)</f>
        <v>0</v>
      </c>
      <c r="V110" s="69">
        <f t="shared" si="99"/>
        <v>0</v>
      </c>
    </row>
    <row r="111" spans="1:22" ht="18.75">
      <c r="A111" s="37"/>
      <c r="B111" s="18" t="s">
        <v>15</v>
      </c>
      <c r="C111" s="7"/>
      <c r="D111" s="8"/>
      <c r="E111" s="5"/>
      <c r="F111" s="68"/>
      <c r="G111" s="68"/>
      <c r="H111" s="68"/>
      <c r="I111" s="68"/>
      <c r="J111" s="68"/>
      <c r="K111" s="68"/>
      <c r="L111" s="68"/>
      <c r="M111" s="68"/>
      <c r="N111" s="67"/>
      <c r="O111" s="68"/>
      <c r="P111" s="68"/>
      <c r="Q111" s="68"/>
      <c r="R111" s="67"/>
      <c r="S111" s="68"/>
      <c r="T111" s="68"/>
      <c r="U111" s="68"/>
      <c r="V111" s="72"/>
    </row>
    <row r="112" spans="1:22" ht="144" customHeight="1">
      <c r="A112" s="37"/>
      <c r="B112" s="50" t="s">
        <v>321</v>
      </c>
      <c r="C112" s="53">
        <v>815</v>
      </c>
      <c r="D112" s="61" t="s">
        <v>50</v>
      </c>
      <c r="E112" s="37" t="s">
        <v>322</v>
      </c>
      <c r="F112" s="68">
        <f t="shared" si="95"/>
        <v>0</v>
      </c>
      <c r="G112" s="70"/>
      <c r="H112" s="70"/>
      <c r="I112" s="70"/>
      <c r="J112" s="68">
        <f t="shared" ref="J112:J115" si="112">K112+L112+M112</f>
        <v>0</v>
      </c>
      <c r="K112" s="70"/>
      <c r="L112" s="70"/>
      <c r="M112" s="70"/>
      <c r="N112" s="67">
        <f t="shared" ref="N112:N115" si="113">O112+P112+Q112</f>
        <v>0</v>
      </c>
      <c r="O112" s="70"/>
      <c r="P112" s="70"/>
      <c r="Q112" s="70"/>
      <c r="R112" s="67">
        <f t="shared" ref="R112:R115" si="114">S112+T112+U112</f>
        <v>66512.600000000006</v>
      </c>
      <c r="S112" s="70"/>
      <c r="T112" s="70">
        <v>66512.600000000006</v>
      </c>
      <c r="U112" s="70"/>
      <c r="V112" s="78"/>
    </row>
    <row r="113" spans="1:103" ht="159" customHeight="1">
      <c r="A113" s="37"/>
      <c r="B113" s="50" t="s">
        <v>312</v>
      </c>
      <c r="C113" s="53">
        <v>825</v>
      </c>
      <c r="D113" s="61" t="s">
        <v>324</v>
      </c>
      <c r="E113" s="37" t="s">
        <v>311</v>
      </c>
      <c r="F113" s="67">
        <f t="shared" si="95"/>
        <v>20960.3</v>
      </c>
      <c r="G113" s="70">
        <v>628.79999999999995</v>
      </c>
      <c r="H113" s="70">
        <v>20331.5</v>
      </c>
      <c r="I113" s="70"/>
      <c r="J113" s="68">
        <f t="shared" si="112"/>
        <v>0</v>
      </c>
      <c r="K113" s="70"/>
      <c r="L113" s="70"/>
      <c r="M113" s="70"/>
      <c r="N113" s="67">
        <f t="shared" si="113"/>
        <v>35536.400000000001</v>
      </c>
      <c r="O113" s="70">
        <v>1066.0999999999999</v>
      </c>
      <c r="P113" s="70">
        <v>34470.300000000003</v>
      </c>
      <c r="Q113" s="70"/>
      <c r="R113" s="67">
        <f t="shared" si="114"/>
        <v>6868.2</v>
      </c>
      <c r="S113" s="70">
        <v>206</v>
      </c>
      <c r="T113" s="70">
        <v>6662.2</v>
      </c>
      <c r="U113" s="70"/>
      <c r="V113" s="78">
        <f t="shared" si="99"/>
        <v>0</v>
      </c>
    </row>
    <row r="114" spans="1:103" s="55" customFormat="1" ht="33">
      <c r="A114" s="38" t="s">
        <v>84</v>
      </c>
      <c r="B114" s="22" t="s">
        <v>85</v>
      </c>
      <c r="C114" s="1" t="s">
        <v>12</v>
      </c>
      <c r="D114" s="1" t="s">
        <v>12</v>
      </c>
      <c r="E114" s="1" t="s">
        <v>12</v>
      </c>
      <c r="F114" s="73">
        <f t="shared" si="95"/>
        <v>2567249</v>
      </c>
      <c r="G114" s="73">
        <f>G115+G118+G123+G126</f>
        <v>326894.40000000002</v>
      </c>
      <c r="H114" s="73">
        <f>H115+H118+H123+H126</f>
        <v>2017529</v>
      </c>
      <c r="I114" s="73">
        <f>I115+I118+I123+I126</f>
        <v>222825.60000000001</v>
      </c>
      <c r="J114" s="73">
        <f t="shared" si="112"/>
        <v>150980.4</v>
      </c>
      <c r="K114" s="73">
        <f>K115+K118+K123+K126</f>
        <v>15361.7</v>
      </c>
      <c r="L114" s="73">
        <f>L115+L118+L123+L126</f>
        <v>112567.2</v>
      </c>
      <c r="M114" s="73">
        <f>M115+M118+M123+M126</f>
        <v>23051.5</v>
      </c>
      <c r="N114" s="73">
        <f t="shared" si="113"/>
        <v>1482351.9</v>
      </c>
      <c r="O114" s="73">
        <f>O115+O118+O123+O126</f>
        <v>122928.6</v>
      </c>
      <c r="P114" s="73">
        <f>P115+P118+P123+P126</f>
        <v>1285607.7</v>
      </c>
      <c r="Q114" s="73">
        <f>Q115+Q118+Q123+Q126</f>
        <v>73815.600000000006</v>
      </c>
      <c r="R114" s="73">
        <f t="shared" si="114"/>
        <v>2072825.9</v>
      </c>
      <c r="S114" s="73">
        <f>S115+S118+S123+S126</f>
        <v>71591.3</v>
      </c>
      <c r="T114" s="73">
        <f>T115+T118+T123+T126</f>
        <v>1942951.8</v>
      </c>
      <c r="U114" s="73">
        <f>U115+U118+U123+U126</f>
        <v>58282.8</v>
      </c>
      <c r="V114" s="74">
        <f t="shared" si="99"/>
        <v>5.8999999999999997E-2</v>
      </c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</row>
    <row r="115" spans="1:103" ht="33">
      <c r="A115" s="36" t="s">
        <v>86</v>
      </c>
      <c r="B115" s="15" t="s">
        <v>87</v>
      </c>
      <c r="C115" s="6" t="s">
        <v>12</v>
      </c>
      <c r="D115" s="6" t="s">
        <v>12</v>
      </c>
      <c r="E115" s="6" t="s">
        <v>12</v>
      </c>
      <c r="F115" s="67">
        <f t="shared" si="95"/>
        <v>402276.9</v>
      </c>
      <c r="G115" s="68">
        <f>SUM(G117:G117)</f>
        <v>11392.2</v>
      </c>
      <c r="H115" s="68">
        <f>SUM(H117:H117)</f>
        <v>368346.9</v>
      </c>
      <c r="I115" s="68">
        <f>SUM(I117:I117)</f>
        <v>22537.8</v>
      </c>
      <c r="J115" s="67">
        <f t="shared" si="112"/>
        <v>12552</v>
      </c>
      <c r="K115" s="68">
        <f>SUM(K117:K117)</f>
        <v>350.7</v>
      </c>
      <c r="L115" s="68">
        <f>SUM(L117:L117)</f>
        <v>11339.2</v>
      </c>
      <c r="M115" s="68">
        <f>SUM(M117:M117)</f>
        <v>862.1</v>
      </c>
      <c r="N115" s="67">
        <f t="shared" si="113"/>
        <v>399056</v>
      </c>
      <c r="O115" s="68">
        <f>SUM(O117:O117)</f>
        <v>11229.3</v>
      </c>
      <c r="P115" s="68">
        <f>SUM(P117:P117)</f>
        <v>363080.5</v>
      </c>
      <c r="Q115" s="68">
        <f>SUM(Q117:Q117)</f>
        <v>24746.2</v>
      </c>
      <c r="R115" s="67">
        <f t="shared" si="114"/>
        <v>383406</v>
      </c>
      <c r="S115" s="68">
        <f>SUM(S117:S117)</f>
        <v>11229.3</v>
      </c>
      <c r="T115" s="68">
        <f>SUM(T117:T117)</f>
        <v>363080.5</v>
      </c>
      <c r="U115" s="68">
        <f>SUM(U117:U117)</f>
        <v>9096.2000000000007</v>
      </c>
      <c r="V115" s="72">
        <f t="shared" si="99"/>
        <v>3.1E-2</v>
      </c>
    </row>
    <row r="116" spans="1:103" ht="18.75">
      <c r="A116" s="37"/>
      <c r="B116" s="16" t="s">
        <v>15</v>
      </c>
      <c r="C116" s="7"/>
      <c r="D116" s="7"/>
      <c r="E116" s="7"/>
      <c r="F116" s="67"/>
      <c r="G116" s="68"/>
      <c r="H116" s="68"/>
      <c r="I116" s="68"/>
      <c r="J116" s="67"/>
      <c r="K116" s="68"/>
      <c r="L116" s="68"/>
      <c r="M116" s="68"/>
      <c r="N116" s="67"/>
      <c r="O116" s="68"/>
      <c r="P116" s="68"/>
      <c r="Q116" s="68"/>
      <c r="R116" s="67"/>
      <c r="S116" s="68"/>
      <c r="T116" s="68"/>
      <c r="U116" s="68"/>
      <c r="V116" s="72"/>
    </row>
    <row r="117" spans="1:103" ht="36.75" customHeight="1">
      <c r="A117" s="37"/>
      <c r="B117" s="17" t="s">
        <v>88</v>
      </c>
      <c r="C117" s="64">
        <v>821</v>
      </c>
      <c r="D117" s="65" t="s">
        <v>19</v>
      </c>
      <c r="E117" s="53" t="s">
        <v>196</v>
      </c>
      <c r="F117" s="67">
        <f t="shared" si="95"/>
        <v>402276.9</v>
      </c>
      <c r="G117" s="70">
        <v>11392.2</v>
      </c>
      <c r="H117" s="70">
        <v>368346.9</v>
      </c>
      <c r="I117" s="70">
        <v>22537.8</v>
      </c>
      <c r="J117" s="67">
        <f t="shared" ref="J117:J118" si="115">K117+L117+M117</f>
        <v>12552</v>
      </c>
      <c r="K117" s="70">
        <f>130.3+220.4</f>
        <v>350.7</v>
      </c>
      <c r="L117" s="70">
        <f>4212.8+7126.4</f>
        <v>11339.2</v>
      </c>
      <c r="M117" s="70">
        <v>862.1</v>
      </c>
      <c r="N117" s="67">
        <f t="shared" ref="N117:N118" si="116">O117+P117+Q117</f>
        <v>399056</v>
      </c>
      <c r="O117" s="70">
        <v>11229.3</v>
      </c>
      <c r="P117" s="70">
        <v>363080.5</v>
      </c>
      <c r="Q117" s="70">
        <v>24746.2</v>
      </c>
      <c r="R117" s="67">
        <f t="shared" ref="R117:R118" si="117">S117+T117+U117</f>
        <v>383406</v>
      </c>
      <c r="S117" s="70">
        <v>11229.3</v>
      </c>
      <c r="T117" s="70">
        <v>363080.5</v>
      </c>
      <c r="U117" s="70">
        <v>9096.2000000000007</v>
      </c>
      <c r="V117" s="78">
        <f t="shared" si="99"/>
        <v>3.1E-2</v>
      </c>
    </row>
    <row r="118" spans="1:103" ht="49.5">
      <c r="A118" s="36" t="s">
        <v>89</v>
      </c>
      <c r="B118" s="15" t="s">
        <v>304</v>
      </c>
      <c r="C118" s="6" t="s">
        <v>12</v>
      </c>
      <c r="D118" s="6" t="s">
        <v>12</v>
      </c>
      <c r="E118" s="6" t="s">
        <v>12</v>
      </c>
      <c r="F118" s="67">
        <f t="shared" si="95"/>
        <v>1632424.2</v>
      </c>
      <c r="G118" s="68">
        <f>SUM(G120:G122)</f>
        <v>240494.3</v>
      </c>
      <c r="H118" s="68">
        <f>SUM(H120:H122)</f>
        <v>1197048.2</v>
      </c>
      <c r="I118" s="68">
        <v>194881.7</v>
      </c>
      <c r="J118" s="67">
        <f t="shared" si="115"/>
        <v>80724</v>
      </c>
      <c r="K118" s="68">
        <f>SUM(K120:K122)</f>
        <v>2448.5</v>
      </c>
      <c r="L118" s="68">
        <f>SUM(L120:L122)</f>
        <v>56410.1</v>
      </c>
      <c r="M118" s="68">
        <f>SUM(M120:M122)</f>
        <v>21865.4</v>
      </c>
      <c r="N118" s="67">
        <f t="shared" si="116"/>
        <v>830002.2</v>
      </c>
      <c r="O118" s="68">
        <f>SUM(O120:O122)</f>
        <v>92945.5</v>
      </c>
      <c r="P118" s="68">
        <f>SUM(P120:P122)</f>
        <v>687987.3</v>
      </c>
      <c r="Q118" s="68">
        <v>49069.4</v>
      </c>
      <c r="R118" s="67">
        <f t="shared" si="117"/>
        <v>1468253.1</v>
      </c>
      <c r="S118" s="68">
        <f>SUM(S120:S122)</f>
        <v>42575.5</v>
      </c>
      <c r="T118" s="68">
        <f>SUM(T120:T122)</f>
        <v>1376608.2</v>
      </c>
      <c r="U118" s="68">
        <v>49069.4</v>
      </c>
      <c r="V118" s="72">
        <f t="shared" si="99"/>
        <v>4.9000000000000002E-2</v>
      </c>
    </row>
    <row r="119" spans="1:103" ht="18.75">
      <c r="A119" s="36"/>
      <c r="B119" s="18" t="s">
        <v>15</v>
      </c>
      <c r="C119" s="6"/>
      <c r="D119" s="6"/>
      <c r="E119" s="6"/>
      <c r="F119" s="67"/>
      <c r="G119" s="68"/>
      <c r="H119" s="68"/>
      <c r="I119" s="68"/>
      <c r="J119" s="67"/>
      <c r="K119" s="68"/>
      <c r="L119" s="68"/>
      <c r="M119" s="68"/>
      <c r="N119" s="67"/>
      <c r="O119" s="68"/>
      <c r="P119" s="68"/>
      <c r="Q119" s="68"/>
      <c r="R119" s="67"/>
      <c r="S119" s="68"/>
      <c r="T119" s="68"/>
      <c r="U119" s="68"/>
      <c r="V119" s="72"/>
    </row>
    <row r="120" spans="1:103" ht="66">
      <c r="A120" s="36"/>
      <c r="B120" s="17" t="s">
        <v>136</v>
      </c>
      <c r="C120" s="64">
        <v>821</v>
      </c>
      <c r="D120" s="65" t="s">
        <v>19</v>
      </c>
      <c r="E120" s="53" t="s">
        <v>197</v>
      </c>
      <c r="F120" s="67">
        <f t="shared" si="95"/>
        <v>1216732</v>
      </c>
      <c r="G120" s="70"/>
      <c r="H120" s="70">
        <f>503521.8+693526.4</f>
        <v>1197048.2</v>
      </c>
      <c r="I120" s="70">
        <v>19683.8</v>
      </c>
      <c r="J120" s="67">
        <f t="shared" ref="J120:J123" si="118">K120+L120+M120</f>
        <v>76093.899999999994</v>
      </c>
      <c r="K120" s="70"/>
      <c r="L120" s="70">
        <v>56410.1</v>
      </c>
      <c r="M120" s="70">
        <v>19683.8</v>
      </c>
      <c r="N120" s="67">
        <f t="shared" ref="N120:N123" si="119">O120+P120+Q120</f>
        <v>687987.3</v>
      </c>
      <c r="O120" s="70"/>
      <c r="P120" s="70">
        <v>687987.3</v>
      </c>
      <c r="Q120" s="70"/>
      <c r="R120" s="67">
        <f t="shared" ref="R120:R123" si="120">S120+T120+U120</f>
        <v>1376608.2</v>
      </c>
      <c r="S120" s="70"/>
      <c r="T120" s="70">
        <v>1376608.2</v>
      </c>
      <c r="U120" s="70"/>
      <c r="V120" s="78">
        <f t="shared" si="99"/>
        <v>6.3E-2</v>
      </c>
    </row>
    <row r="121" spans="1:103" ht="47.25" customHeight="1">
      <c r="A121" s="36"/>
      <c r="B121" s="17" t="s">
        <v>339</v>
      </c>
      <c r="C121" s="64">
        <v>821</v>
      </c>
      <c r="D121" s="65" t="s">
        <v>19</v>
      </c>
      <c r="E121" s="53" t="s">
        <v>338</v>
      </c>
      <c r="F121" s="67">
        <f t="shared" ref="F121" si="121">G121+H121+I121</f>
        <v>3545.5</v>
      </c>
      <c r="G121" s="70">
        <v>3545.5</v>
      </c>
      <c r="H121" s="70"/>
      <c r="I121" s="70"/>
      <c r="J121" s="67">
        <f t="shared" ref="J121" si="122">K121+L121+M121</f>
        <v>2448.5</v>
      </c>
      <c r="K121" s="70">
        <v>2448.5</v>
      </c>
      <c r="L121" s="70"/>
      <c r="M121" s="70"/>
      <c r="N121" s="67">
        <f t="shared" ref="N121" si="123">O121+P121+Q121</f>
        <v>0</v>
      </c>
      <c r="O121" s="70"/>
      <c r="P121" s="70"/>
      <c r="Q121" s="70"/>
      <c r="R121" s="67">
        <f t="shared" ref="R121" si="124">S121+T121+U121</f>
        <v>0</v>
      </c>
      <c r="S121" s="70"/>
      <c r="T121" s="70"/>
      <c r="U121" s="70"/>
      <c r="V121" s="78">
        <f t="shared" ref="V121" si="125">J121/F121</f>
        <v>0.69099999999999995</v>
      </c>
    </row>
    <row r="122" spans="1:103" ht="44.25" customHeight="1">
      <c r="A122" s="37"/>
      <c r="B122" s="17" t="s">
        <v>137</v>
      </c>
      <c r="C122" s="64">
        <v>821</v>
      </c>
      <c r="D122" s="65" t="s">
        <v>19</v>
      </c>
      <c r="E122" s="64" t="s">
        <v>237</v>
      </c>
      <c r="F122" s="67">
        <f t="shared" si="95"/>
        <v>239130.4</v>
      </c>
      <c r="G122" s="70">
        <v>236948.8</v>
      </c>
      <c r="H122" s="70"/>
      <c r="I122" s="70">
        <v>2181.6</v>
      </c>
      <c r="J122" s="67">
        <f t="shared" si="118"/>
        <v>2181.6</v>
      </c>
      <c r="K122" s="70"/>
      <c r="L122" s="70"/>
      <c r="M122" s="70">
        <v>2181.6</v>
      </c>
      <c r="N122" s="67">
        <f t="shared" si="119"/>
        <v>92945.5</v>
      </c>
      <c r="O122" s="70">
        <v>92945.5</v>
      </c>
      <c r="P122" s="70"/>
      <c r="Q122" s="70"/>
      <c r="R122" s="67">
        <f t="shared" si="120"/>
        <v>42575.5</v>
      </c>
      <c r="S122" s="70">
        <v>42575.5</v>
      </c>
      <c r="T122" s="70"/>
      <c r="U122" s="70"/>
      <c r="V122" s="78">
        <f t="shared" si="99"/>
        <v>8.9999999999999993E-3</v>
      </c>
    </row>
    <row r="123" spans="1:103" ht="27.75" customHeight="1">
      <c r="A123" s="36" t="s">
        <v>302</v>
      </c>
      <c r="B123" s="15" t="s">
        <v>303</v>
      </c>
      <c r="C123" s="6" t="s">
        <v>12</v>
      </c>
      <c r="D123" s="6" t="s">
        <v>12</v>
      </c>
      <c r="E123" s="6" t="s">
        <v>12</v>
      </c>
      <c r="F123" s="67">
        <f t="shared" si="95"/>
        <v>163570.5</v>
      </c>
      <c r="G123" s="68">
        <f t="shared" ref="G123:T123" si="126">G125</f>
        <v>33786.300000000003</v>
      </c>
      <c r="H123" s="68">
        <f t="shared" si="126"/>
        <v>127984.2</v>
      </c>
      <c r="I123" s="68">
        <f t="shared" ref="I123" si="127">I125</f>
        <v>1800</v>
      </c>
      <c r="J123" s="67">
        <f t="shared" si="118"/>
        <v>0</v>
      </c>
      <c r="K123" s="68">
        <f t="shared" ref="K123:M123" si="128">K125</f>
        <v>0</v>
      </c>
      <c r="L123" s="68">
        <f t="shared" si="128"/>
        <v>0</v>
      </c>
      <c r="M123" s="68">
        <f t="shared" si="128"/>
        <v>0</v>
      </c>
      <c r="N123" s="67">
        <f t="shared" si="119"/>
        <v>0</v>
      </c>
      <c r="O123" s="68">
        <f t="shared" si="126"/>
        <v>0</v>
      </c>
      <c r="P123" s="68">
        <f t="shared" si="126"/>
        <v>0</v>
      </c>
      <c r="Q123" s="68">
        <f t="shared" si="126"/>
        <v>0</v>
      </c>
      <c r="R123" s="67">
        <f t="shared" si="120"/>
        <v>0</v>
      </c>
      <c r="S123" s="68">
        <f t="shared" si="126"/>
        <v>0</v>
      </c>
      <c r="T123" s="68">
        <f t="shared" si="126"/>
        <v>0</v>
      </c>
      <c r="U123" s="68">
        <f t="shared" ref="U123" si="129">U125</f>
        <v>0</v>
      </c>
      <c r="V123" s="69">
        <f t="shared" si="99"/>
        <v>0</v>
      </c>
    </row>
    <row r="124" spans="1:103" ht="18.75">
      <c r="A124" s="37"/>
      <c r="B124" s="18" t="s">
        <v>15</v>
      </c>
      <c r="C124" s="7"/>
      <c r="D124" s="8"/>
      <c r="E124" s="7"/>
      <c r="F124" s="67"/>
      <c r="G124" s="70"/>
      <c r="H124" s="70"/>
      <c r="I124" s="70"/>
      <c r="J124" s="67"/>
      <c r="K124" s="70"/>
      <c r="L124" s="70"/>
      <c r="M124" s="70"/>
      <c r="N124" s="67"/>
      <c r="O124" s="70"/>
      <c r="P124" s="70"/>
      <c r="Q124" s="70"/>
      <c r="R124" s="67"/>
      <c r="S124" s="70"/>
      <c r="T124" s="70"/>
      <c r="U124" s="70"/>
      <c r="V124" s="78"/>
    </row>
    <row r="125" spans="1:103" ht="44.25" customHeight="1">
      <c r="A125" s="37"/>
      <c r="B125" s="17" t="s">
        <v>305</v>
      </c>
      <c r="C125" s="64">
        <v>821</v>
      </c>
      <c r="D125" s="65" t="s">
        <v>19</v>
      </c>
      <c r="E125" s="64" t="s">
        <v>306</v>
      </c>
      <c r="F125" s="67">
        <f t="shared" si="95"/>
        <v>163570.5</v>
      </c>
      <c r="G125" s="70">
        <v>33786.300000000003</v>
      </c>
      <c r="H125" s="70">
        <v>127984.2</v>
      </c>
      <c r="I125" s="70">
        <v>1800</v>
      </c>
      <c r="J125" s="67">
        <f t="shared" ref="J125:J126" si="130">K125+L125+M125</f>
        <v>0</v>
      </c>
      <c r="K125" s="70"/>
      <c r="L125" s="70"/>
      <c r="M125" s="70"/>
      <c r="N125" s="67">
        <f t="shared" ref="N125:N126" si="131">O125+P125+Q125</f>
        <v>0</v>
      </c>
      <c r="O125" s="70"/>
      <c r="P125" s="70"/>
      <c r="Q125" s="70"/>
      <c r="R125" s="67">
        <f t="shared" ref="R125:R126" si="132">S125+T125+U125</f>
        <v>0</v>
      </c>
      <c r="S125" s="70"/>
      <c r="T125" s="70"/>
      <c r="U125" s="70"/>
      <c r="V125" s="78">
        <f t="shared" si="99"/>
        <v>0</v>
      </c>
    </row>
    <row r="126" spans="1:103" ht="18.75">
      <c r="A126" s="36" t="s">
        <v>308</v>
      </c>
      <c r="B126" s="15" t="s">
        <v>99</v>
      </c>
      <c r="C126" s="6" t="s">
        <v>12</v>
      </c>
      <c r="D126" s="6" t="s">
        <v>12</v>
      </c>
      <c r="E126" s="6" t="s">
        <v>12</v>
      </c>
      <c r="F126" s="67">
        <f>G126+H126+I126</f>
        <v>368977.4</v>
      </c>
      <c r="G126" s="68">
        <f>G128+G130+G129</f>
        <v>41221.599999999999</v>
      </c>
      <c r="H126" s="68">
        <f t="shared" ref="H126:I126" si="133">H128+H130+H129</f>
        <v>324149.7</v>
      </c>
      <c r="I126" s="68">
        <f t="shared" si="133"/>
        <v>3606.1</v>
      </c>
      <c r="J126" s="67">
        <f t="shared" si="130"/>
        <v>57704.4</v>
      </c>
      <c r="K126" s="68">
        <f>K128+K130+K129</f>
        <v>12562.5</v>
      </c>
      <c r="L126" s="68">
        <f t="shared" ref="L126:M126" si="134">L128+L130+L129</f>
        <v>44817.9</v>
      </c>
      <c r="M126" s="68">
        <f t="shared" si="134"/>
        <v>324</v>
      </c>
      <c r="N126" s="67">
        <f t="shared" si="131"/>
        <v>253293.7</v>
      </c>
      <c r="O126" s="68">
        <f>O128+O130+O129</f>
        <v>18753.8</v>
      </c>
      <c r="P126" s="68">
        <f t="shared" ref="P126:Q126" si="135">P128+P130+P129</f>
        <v>234539.9</v>
      </c>
      <c r="Q126" s="68">
        <f t="shared" si="135"/>
        <v>0</v>
      </c>
      <c r="R126" s="67">
        <f t="shared" si="132"/>
        <v>221166.8</v>
      </c>
      <c r="S126" s="68">
        <f>S128+S130+S129</f>
        <v>17786.5</v>
      </c>
      <c r="T126" s="68">
        <f t="shared" ref="T126:U126" si="136">T128+T130+T129</f>
        <v>203263.1</v>
      </c>
      <c r="U126" s="68">
        <f t="shared" si="136"/>
        <v>117.2</v>
      </c>
      <c r="V126" s="69">
        <f t="shared" si="99"/>
        <v>0.156</v>
      </c>
    </row>
    <row r="127" spans="1:103" ht="18.75">
      <c r="A127" s="37"/>
      <c r="B127" s="18" t="s">
        <v>15</v>
      </c>
      <c r="C127" s="27"/>
      <c r="D127" s="29"/>
      <c r="E127" s="7"/>
      <c r="F127" s="67"/>
      <c r="G127" s="70"/>
      <c r="H127" s="70"/>
      <c r="I127" s="70"/>
      <c r="J127" s="67"/>
      <c r="K127" s="70"/>
      <c r="L127" s="70"/>
      <c r="M127" s="70"/>
      <c r="N127" s="67"/>
      <c r="O127" s="70"/>
      <c r="P127" s="70"/>
      <c r="Q127" s="70"/>
      <c r="R127" s="67"/>
      <c r="S127" s="70"/>
      <c r="T127" s="70"/>
      <c r="U127" s="70"/>
      <c r="V127" s="78"/>
    </row>
    <row r="128" spans="1:103" ht="73.5" customHeight="1">
      <c r="A128" s="37"/>
      <c r="B128" s="17" t="s">
        <v>239</v>
      </c>
      <c r="C128" s="64">
        <v>828</v>
      </c>
      <c r="D128" s="65" t="s">
        <v>101</v>
      </c>
      <c r="E128" s="64" t="s">
        <v>310</v>
      </c>
      <c r="F128" s="67">
        <f t="shared" si="95"/>
        <v>11500</v>
      </c>
      <c r="G128" s="70">
        <v>11500</v>
      </c>
      <c r="H128" s="70"/>
      <c r="I128" s="70"/>
      <c r="J128" s="67">
        <f t="shared" ref="J128:J132" si="137">K128+L128+M128</f>
        <v>11500</v>
      </c>
      <c r="K128" s="70">
        <v>11500</v>
      </c>
      <c r="L128" s="70"/>
      <c r="M128" s="70"/>
      <c r="N128" s="67">
        <f t="shared" ref="N128:N132" si="138">O128+P128+Q128</f>
        <v>11500</v>
      </c>
      <c r="O128" s="70">
        <v>11500</v>
      </c>
      <c r="P128" s="70"/>
      <c r="Q128" s="70"/>
      <c r="R128" s="67">
        <f t="shared" ref="R128:R132" si="139">S128+T128+U128</f>
        <v>11500</v>
      </c>
      <c r="S128" s="70">
        <v>11500</v>
      </c>
      <c r="T128" s="70"/>
      <c r="U128" s="70"/>
      <c r="V128" s="78">
        <f t="shared" si="99"/>
        <v>1</v>
      </c>
    </row>
    <row r="129" spans="1:103" ht="51" customHeight="1">
      <c r="A129" s="37"/>
      <c r="B129" s="17" t="s">
        <v>344</v>
      </c>
      <c r="C129" s="64">
        <v>828</v>
      </c>
      <c r="D129" s="65" t="s">
        <v>101</v>
      </c>
      <c r="E129" s="64" t="s">
        <v>343</v>
      </c>
      <c r="F129" s="67">
        <f t="shared" ref="F129" si="140">G129+H129+I129</f>
        <v>13424</v>
      </c>
      <c r="G129" s="70">
        <v>12000</v>
      </c>
      <c r="H129" s="70"/>
      <c r="I129" s="70">
        <v>1424</v>
      </c>
      <c r="J129" s="67">
        <f t="shared" ref="J129" si="141">K129+L129+M129</f>
        <v>0</v>
      </c>
      <c r="K129" s="70"/>
      <c r="L129" s="70"/>
      <c r="M129" s="70"/>
      <c r="N129" s="67">
        <f t="shared" ref="N129" si="142">O129+P129+Q129</f>
        <v>0</v>
      </c>
      <c r="O129" s="70"/>
      <c r="P129" s="70"/>
      <c r="Q129" s="70"/>
      <c r="R129" s="67">
        <f t="shared" ref="R129" si="143">S129+T129+U129</f>
        <v>0</v>
      </c>
      <c r="S129" s="70"/>
      <c r="T129" s="70"/>
      <c r="U129" s="70"/>
      <c r="V129" s="78">
        <f t="shared" ref="V129" si="144">J129/F129</f>
        <v>0</v>
      </c>
      <c r="W129" s="60"/>
      <c r="X129" s="60"/>
      <c r="Y129" s="60"/>
      <c r="Z129" s="60"/>
      <c r="AA129" s="60"/>
      <c r="AB129" s="60"/>
      <c r="AC129" s="60"/>
      <c r="AD129" s="60"/>
      <c r="AE129" s="60"/>
      <c r="AF129" s="60"/>
      <c r="AG129" s="60"/>
      <c r="AH129" s="60"/>
      <c r="AI129" s="60"/>
      <c r="AJ129" s="60"/>
      <c r="AK129" s="60"/>
      <c r="AL129" s="60"/>
      <c r="AM129" s="60"/>
      <c r="AN129" s="60"/>
      <c r="AO129" s="60"/>
      <c r="AP129" s="60"/>
      <c r="AQ129" s="60"/>
      <c r="AR129" s="60"/>
      <c r="AS129" s="60"/>
      <c r="AT129" s="60"/>
      <c r="AU129" s="60"/>
      <c r="AV129" s="60"/>
      <c r="AW129" s="60"/>
      <c r="AX129" s="60"/>
      <c r="AY129" s="60"/>
      <c r="AZ129" s="60"/>
      <c r="BA129" s="60"/>
      <c r="BB129" s="60"/>
      <c r="BC129" s="60"/>
      <c r="BD129" s="60"/>
      <c r="BE129" s="60"/>
      <c r="BF129" s="60"/>
      <c r="BG129" s="60"/>
      <c r="BH129" s="60"/>
      <c r="BI129" s="60"/>
      <c r="BJ129" s="60"/>
      <c r="BK129" s="60"/>
      <c r="BL129" s="60"/>
      <c r="BM129" s="60"/>
      <c r="BN129" s="60"/>
      <c r="BO129" s="60"/>
      <c r="BP129" s="60"/>
      <c r="BQ129" s="60"/>
      <c r="BR129" s="60"/>
      <c r="BS129" s="60"/>
      <c r="BT129" s="60"/>
      <c r="BU129" s="60"/>
      <c r="BV129" s="60"/>
      <c r="BW129" s="60"/>
      <c r="BX129" s="60"/>
      <c r="BY129" s="60"/>
      <c r="BZ129" s="60"/>
      <c r="CA129" s="60"/>
      <c r="CB129" s="60"/>
      <c r="CC129" s="60"/>
      <c r="CD129" s="60"/>
      <c r="CE129" s="60"/>
      <c r="CF129" s="60"/>
      <c r="CG129" s="60"/>
      <c r="CH129" s="60"/>
      <c r="CI129" s="60"/>
      <c r="CJ129" s="60"/>
      <c r="CK129" s="60"/>
      <c r="CL129" s="60"/>
      <c r="CM129" s="60"/>
      <c r="CN129" s="60"/>
      <c r="CO129" s="60"/>
      <c r="CP129" s="60"/>
      <c r="CQ129" s="60"/>
      <c r="CR129" s="60"/>
      <c r="CS129" s="60"/>
      <c r="CT129" s="60"/>
      <c r="CU129" s="60"/>
      <c r="CV129" s="60"/>
      <c r="CW129" s="60"/>
      <c r="CX129" s="60"/>
      <c r="CY129" s="60"/>
    </row>
    <row r="130" spans="1:103" ht="53.25" customHeight="1">
      <c r="A130" s="37"/>
      <c r="B130" s="17" t="s">
        <v>100</v>
      </c>
      <c r="C130" s="64">
        <v>828</v>
      </c>
      <c r="D130" s="65" t="s">
        <v>101</v>
      </c>
      <c r="E130" s="53" t="s">
        <v>309</v>
      </c>
      <c r="F130" s="67">
        <f t="shared" si="95"/>
        <v>344053.4</v>
      </c>
      <c r="G130" s="70">
        <v>17721.599999999999</v>
      </c>
      <c r="H130" s="70">
        <v>324149.7</v>
      </c>
      <c r="I130" s="70">
        <v>2182.1</v>
      </c>
      <c r="J130" s="67">
        <f t="shared" si="137"/>
        <v>46204.4</v>
      </c>
      <c r="K130" s="70">
        <v>1062.5</v>
      </c>
      <c r="L130" s="70">
        <v>44817.9</v>
      </c>
      <c r="M130" s="70">
        <v>324</v>
      </c>
      <c r="N130" s="67">
        <f t="shared" si="138"/>
        <v>241793.7</v>
      </c>
      <c r="O130" s="70">
        <v>7253.8</v>
      </c>
      <c r="P130" s="70">
        <v>234539.9</v>
      </c>
      <c r="Q130" s="70"/>
      <c r="R130" s="67">
        <f t="shared" si="139"/>
        <v>209666.8</v>
      </c>
      <c r="S130" s="70">
        <v>6286.5</v>
      </c>
      <c r="T130" s="70">
        <v>203263.1</v>
      </c>
      <c r="U130" s="70">
        <v>117.2</v>
      </c>
      <c r="V130" s="78">
        <f t="shared" si="99"/>
        <v>0.13400000000000001</v>
      </c>
    </row>
    <row r="131" spans="1:103" s="55" customFormat="1" ht="22.5" customHeight="1">
      <c r="A131" s="38" t="s">
        <v>90</v>
      </c>
      <c r="B131" s="21" t="s">
        <v>91</v>
      </c>
      <c r="C131" s="1" t="s">
        <v>12</v>
      </c>
      <c r="D131" s="1" t="s">
        <v>12</v>
      </c>
      <c r="E131" s="1" t="s">
        <v>12</v>
      </c>
      <c r="F131" s="73">
        <f t="shared" si="95"/>
        <v>223898.2</v>
      </c>
      <c r="G131" s="73">
        <f>G132+G138+G142</f>
        <v>19091.900000000001</v>
      </c>
      <c r="H131" s="73">
        <f>H132+H138+H142</f>
        <v>199684.7</v>
      </c>
      <c r="I131" s="73">
        <f>I132+I138+I142</f>
        <v>5121.6000000000004</v>
      </c>
      <c r="J131" s="73">
        <f t="shared" si="137"/>
        <v>33574</v>
      </c>
      <c r="K131" s="73">
        <f>K132+K138+K142</f>
        <v>6763.5</v>
      </c>
      <c r="L131" s="73">
        <f>L132+L138+L142</f>
        <v>25308.1</v>
      </c>
      <c r="M131" s="73">
        <f>M132+M138+M142</f>
        <v>1502.4</v>
      </c>
      <c r="N131" s="73">
        <f t="shared" si="138"/>
        <v>118123.7</v>
      </c>
      <c r="O131" s="73">
        <f>O132+O138+O142</f>
        <v>15856.7</v>
      </c>
      <c r="P131" s="73">
        <f>P132+P138+P142</f>
        <v>98240.7</v>
      </c>
      <c r="Q131" s="73">
        <f>Q132+Q138+Q142</f>
        <v>4026.3</v>
      </c>
      <c r="R131" s="73">
        <f t="shared" si="139"/>
        <v>136445</v>
      </c>
      <c r="S131" s="73">
        <f>S132+S138+S142</f>
        <v>13972.2</v>
      </c>
      <c r="T131" s="73">
        <f>T132+T138+T142</f>
        <v>118402.8</v>
      </c>
      <c r="U131" s="73">
        <f>U132+U138+U142</f>
        <v>4070</v>
      </c>
      <c r="V131" s="74">
        <f t="shared" si="99"/>
        <v>0.15</v>
      </c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</row>
    <row r="132" spans="1:103" ht="33">
      <c r="A132" s="36" t="s">
        <v>92</v>
      </c>
      <c r="B132" s="15" t="s">
        <v>93</v>
      </c>
      <c r="C132" s="6" t="s">
        <v>12</v>
      </c>
      <c r="D132" s="6" t="s">
        <v>12</v>
      </c>
      <c r="E132" s="6" t="s">
        <v>12</v>
      </c>
      <c r="F132" s="68">
        <f t="shared" si="95"/>
        <v>124668.6</v>
      </c>
      <c r="G132" s="68">
        <f t="shared" ref="G132:H132" si="145">SUM(G134:G136)</f>
        <v>0</v>
      </c>
      <c r="H132" s="68">
        <f t="shared" si="145"/>
        <v>124668.6</v>
      </c>
      <c r="I132" s="68">
        <f t="shared" ref="I132" si="146">SUM(I134:I136)</f>
        <v>0</v>
      </c>
      <c r="J132" s="68">
        <f t="shared" si="137"/>
        <v>3301.8</v>
      </c>
      <c r="K132" s="68">
        <f t="shared" ref="K132:M132" si="147">SUM(K134:K136)</f>
        <v>0</v>
      </c>
      <c r="L132" s="68">
        <f t="shared" si="147"/>
        <v>3301.8</v>
      </c>
      <c r="M132" s="68">
        <f t="shared" si="147"/>
        <v>0</v>
      </c>
      <c r="N132" s="67">
        <f t="shared" si="138"/>
        <v>16019.4</v>
      </c>
      <c r="O132" s="68">
        <f t="shared" ref="O132:T132" si="148">SUM(O134:O136)</f>
        <v>0</v>
      </c>
      <c r="P132" s="68">
        <f t="shared" si="148"/>
        <v>16019.4</v>
      </c>
      <c r="Q132" s="68">
        <f t="shared" si="148"/>
        <v>0</v>
      </c>
      <c r="R132" s="67">
        <f t="shared" si="139"/>
        <v>10689.4</v>
      </c>
      <c r="S132" s="68">
        <f t="shared" si="148"/>
        <v>0</v>
      </c>
      <c r="T132" s="68">
        <f t="shared" si="148"/>
        <v>10689.4</v>
      </c>
      <c r="U132" s="68">
        <f t="shared" ref="U132" si="149">SUM(U134:U136)</f>
        <v>0</v>
      </c>
      <c r="V132" s="72">
        <f t="shared" si="99"/>
        <v>2.5999999999999999E-2</v>
      </c>
    </row>
    <row r="133" spans="1:103" ht="18.75">
      <c r="A133" s="37"/>
      <c r="B133" s="16" t="s">
        <v>15</v>
      </c>
      <c r="C133" s="7"/>
      <c r="D133" s="7"/>
      <c r="E133" s="7"/>
      <c r="F133" s="68"/>
      <c r="G133" s="68"/>
      <c r="H133" s="68"/>
      <c r="I133" s="68"/>
      <c r="J133" s="68"/>
      <c r="K133" s="68"/>
      <c r="L133" s="68"/>
      <c r="M133" s="68"/>
      <c r="N133" s="67"/>
      <c r="O133" s="68"/>
      <c r="P133" s="68"/>
      <c r="Q133" s="68"/>
      <c r="R133" s="67"/>
      <c r="S133" s="68"/>
      <c r="T133" s="68"/>
      <c r="U133" s="68"/>
      <c r="V133" s="72"/>
    </row>
    <row r="134" spans="1:103" ht="33">
      <c r="A134" s="37"/>
      <c r="B134" s="19" t="s">
        <v>94</v>
      </c>
      <c r="C134" s="64">
        <v>838</v>
      </c>
      <c r="D134" s="65" t="s">
        <v>95</v>
      </c>
      <c r="E134" s="64" t="s">
        <v>199</v>
      </c>
      <c r="F134" s="67">
        <f t="shared" ref="F134:F175" si="150">G134+H134+I134</f>
        <v>11116.9</v>
      </c>
      <c r="G134" s="70"/>
      <c r="H134" s="70">
        <v>11116.9</v>
      </c>
      <c r="I134" s="70"/>
      <c r="J134" s="68">
        <f t="shared" ref="J134:J136" si="151">K134+L134+M134</f>
        <v>2034.6</v>
      </c>
      <c r="K134" s="70"/>
      <c r="L134" s="70">
        <v>2034.6</v>
      </c>
      <c r="M134" s="70"/>
      <c r="N134" s="67">
        <f t="shared" ref="N134:N136" si="152">O134+P134+Q134</f>
        <v>10546.8</v>
      </c>
      <c r="O134" s="70"/>
      <c r="P134" s="70">
        <v>10546.8</v>
      </c>
      <c r="Q134" s="70"/>
      <c r="R134" s="67">
        <f t="shared" ref="R134:R136" si="153">S134+T134+U134</f>
        <v>10689.4</v>
      </c>
      <c r="S134" s="70"/>
      <c r="T134" s="70">
        <v>10689.4</v>
      </c>
      <c r="U134" s="70"/>
      <c r="V134" s="78">
        <f t="shared" ref="V134:V175" si="154">J134/F134</f>
        <v>0.183</v>
      </c>
    </row>
    <row r="135" spans="1:103" ht="94.5" customHeight="1">
      <c r="A135" s="37"/>
      <c r="B135" s="17" t="s">
        <v>96</v>
      </c>
      <c r="C135" s="64">
        <v>838</v>
      </c>
      <c r="D135" s="65" t="s">
        <v>95</v>
      </c>
      <c r="E135" s="64" t="s">
        <v>200</v>
      </c>
      <c r="F135" s="67">
        <f t="shared" si="150"/>
        <v>14663.7</v>
      </c>
      <c r="G135" s="70"/>
      <c r="H135" s="70">
        <v>14663.7</v>
      </c>
      <c r="I135" s="70"/>
      <c r="J135" s="68">
        <f t="shared" si="151"/>
        <v>269.7</v>
      </c>
      <c r="K135" s="70"/>
      <c r="L135" s="70">
        <v>269.7</v>
      </c>
      <c r="M135" s="70"/>
      <c r="N135" s="67">
        <f t="shared" si="152"/>
        <v>5472.6</v>
      </c>
      <c r="O135" s="70"/>
      <c r="P135" s="70">
        <v>5472.6</v>
      </c>
      <c r="Q135" s="70"/>
      <c r="R135" s="67">
        <f t="shared" si="153"/>
        <v>0</v>
      </c>
      <c r="S135" s="70"/>
      <c r="T135" s="70"/>
      <c r="U135" s="70"/>
      <c r="V135" s="78">
        <f t="shared" si="154"/>
        <v>1.7999999999999999E-2</v>
      </c>
    </row>
    <row r="136" spans="1:103" ht="90.75" customHeight="1">
      <c r="A136" s="37"/>
      <c r="B136" s="17" t="s">
        <v>97</v>
      </c>
      <c r="C136" s="64">
        <v>838</v>
      </c>
      <c r="D136" s="65" t="s">
        <v>95</v>
      </c>
      <c r="E136" s="64" t="s">
        <v>201</v>
      </c>
      <c r="F136" s="67">
        <f t="shared" si="150"/>
        <v>98888</v>
      </c>
      <c r="G136" s="70"/>
      <c r="H136" s="70">
        <v>98888</v>
      </c>
      <c r="I136" s="70"/>
      <c r="J136" s="68">
        <f t="shared" si="151"/>
        <v>997.5</v>
      </c>
      <c r="K136" s="70"/>
      <c r="L136" s="70">
        <v>997.5</v>
      </c>
      <c r="M136" s="70"/>
      <c r="N136" s="67">
        <f t="shared" si="152"/>
        <v>0</v>
      </c>
      <c r="O136" s="70"/>
      <c r="P136" s="70"/>
      <c r="Q136" s="70"/>
      <c r="R136" s="67">
        <f t="shared" si="153"/>
        <v>0</v>
      </c>
      <c r="S136" s="70"/>
      <c r="T136" s="70"/>
      <c r="U136" s="70"/>
      <c r="V136" s="78">
        <f t="shared" si="154"/>
        <v>0.01</v>
      </c>
    </row>
    <row r="137" spans="1:103" ht="18.75">
      <c r="A137" s="37"/>
      <c r="B137" s="16" t="s">
        <v>15</v>
      </c>
      <c r="C137" s="7"/>
      <c r="D137" s="7"/>
      <c r="E137" s="7"/>
      <c r="F137" s="68"/>
      <c r="G137" s="68"/>
      <c r="H137" s="68"/>
      <c r="I137" s="68"/>
      <c r="J137" s="68"/>
      <c r="K137" s="68"/>
      <c r="L137" s="68"/>
      <c r="M137" s="68"/>
      <c r="N137" s="67"/>
      <c r="O137" s="68"/>
      <c r="P137" s="68"/>
      <c r="Q137" s="68"/>
      <c r="R137" s="67"/>
      <c r="S137" s="68"/>
      <c r="T137" s="68"/>
      <c r="U137" s="68"/>
      <c r="V137" s="72"/>
    </row>
    <row r="138" spans="1:103" ht="34.5" customHeight="1">
      <c r="A138" s="36" t="s">
        <v>98</v>
      </c>
      <c r="B138" s="15" t="s">
        <v>104</v>
      </c>
      <c r="C138" s="6" t="s">
        <v>12</v>
      </c>
      <c r="D138" s="6" t="s">
        <v>12</v>
      </c>
      <c r="E138" s="6" t="s">
        <v>12</v>
      </c>
      <c r="F138" s="67">
        <f t="shared" si="150"/>
        <v>3727.2</v>
      </c>
      <c r="G138" s="68">
        <f t="shared" ref="G138:T138" si="155">G141+G140</f>
        <v>3727.2</v>
      </c>
      <c r="H138" s="68">
        <f t="shared" si="155"/>
        <v>0</v>
      </c>
      <c r="I138" s="68">
        <f t="shared" ref="I138" si="156">I141+I140</f>
        <v>0</v>
      </c>
      <c r="J138" s="67">
        <f t="shared" ref="J138" si="157">K138+L138+M138</f>
        <v>2256.1999999999998</v>
      </c>
      <c r="K138" s="68">
        <f t="shared" ref="K138:M138" si="158">K141+K140</f>
        <v>2256.1999999999998</v>
      </c>
      <c r="L138" s="68">
        <f t="shared" si="158"/>
        <v>0</v>
      </c>
      <c r="M138" s="68">
        <f t="shared" si="158"/>
        <v>0</v>
      </c>
      <c r="N138" s="67">
        <f t="shared" ref="N138" si="159">O138+P138+Q138</f>
        <v>7697.2</v>
      </c>
      <c r="O138" s="68">
        <f t="shared" si="155"/>
        <v>4107.2</v>
      </c>
      <c r="P138" s="68">
        <f t="shared" si="155"/>
        <v>3590</v>
      </c>
      <c r="Q138" s="68">
        <f t="shared" si="155"/>
        <v>0</v>
      </c>
      <c r="R138" s="67">
        <f t="shared" ref="R138" si="160">S138+T138+U138</f>
        <v>27762.2</v>
      </c>
      <c r="S138" s="68">
        <f t="shared" si="155"/>
        <v>1762.2</v>
      </c>
      <c r="T138" s="68">
        <f t="shared" si="155"/>
        <v>26000</v>
      </c>
      <c r="U138" s="68">
        <f t="shared" ref="U138" si="161">U141+U140</f>
        <v>0</v>
      </c>
      <c r="V138" s="69">
        <f t="shared" si="154"/>
        <v>0.60499999999999998</v>
      </c>
    </row>
    <row r="139" spans="1:103" ht="18.75">
      <c r="A139" s="37"/>
      <c r="B139" s="16" t="s">
        <v>15</v>
      </c>
      <c r="C139" s="7"/>
      <c r="D139" s="7"/>
      <c r="E139" s="7"/>
      <c r="F139" s="68"/>
      <c r="G139" s="68"/>
      <c r="H139" s="68"/>
      <c r="I139" s="68"/>
      <c r="J139" s="68"/>
      <c r="K139" s="68"/>
      <c r="L139" s="68"/>
      <c r="M139" s="68"/>
      <c r="N139" s="67"/>
      <c r="O139" s="68"/>
      <c r="P139" s="68"/>
      <c r="Q139" s="68"/>
      <c r="R139" s="67"/>
      <c r="S139" s="68"/>
      <c r="T139" s="68"/>
      <c r="U139" s="68"/>
      <c r="V139" s="72"/>
    </row>
    <row r="140" spans="1:103" ht="49.5">
      <c r="A140" s="37"/>
      <c r="B140" s="17" t="s">
        <v>319</v>
      </c>
      <c r="C140" s="64">
        <v>810</v>
      </c>
      <c r="D140" s="65" t="s">
        <v>103</v>
      </c>
      <c r="E140" s="64" t="s">
        <v>320</v>
      </c>
      <c r="F140" s="68">
        <f t="shared" si="150"/>
        <v>0</v>
      </c>
      <c r="G140" s="68"/>
      <c r="H140" s="68"/>
      <c r="I140" s="68"/>
      <c r="J140" s="68">
        <f t="shared" ref="J140:J142" si="162">K140+L140+M140</f>
        <v>0</v>
      </c>
      <c r="K140" s="68"/>
      <c r="L140" s="68"/>
      <c r="M140" s="68"/>
      <c r="N140" s="67">
        <f t="shared" ref="N140:N142" si="163">O140+P140+Q140</f>
        <v>3590</v>
      </c>
      <c r="O140" s="68"/>
      <c r="P140" s="70">
        <v>3590</v>
      </c>
      <c r="Q140" s="68"/>
      <c r="R140" s="67">
        <f t="shared" ref="R140:R142" si="164">S140+T140+U140</f>
        <v>26000</v>
      </c>
      <c r="S140" s="68"/>
      <c r="T140" s="70">
        <v>26000</v>
      </c>
      <c r="U140" s="70"/>
      <c r="V140" s="72"/>
    </row>
    <row r="141" spans="1:103" ht="49.5">
      <c r="A141" s="37"/>
      <c r="B141" s="17" t="s">
        <v>105</v>
      </c>
      <c r="C141" s="64">
        <v>810</v>
      </c>
      <c r="D141" s="65" t="s">
        <v>103</v>
      </c>
      <c r="E141" s="64" t="s">
        <v>198</v>
      </c>
      <c r="F141" s="67">
        <f t="shared" si="150"/>
        <v>3727.2</v>
      </c>
      <c r="G141" s="70">
        <f>1762.2+1965</f>
        <v>3727.2</v>
      </c>
      <c r="H141" s="70"/>
      <c r="I141" s="70"/>
      <c r="J141" s="68">
        <f t="shared" si="162"/>
        <v>2256.1999999999998</v>
      </c>
      <c r="K141" s="70">
        <v>2256.1999999999998</v>
      </c>
      <c r="L141" s="70"/>
      <c r="M141" s="70"/>
      <c r="N141" s="67">
        <f t="shared" si="163"/>
        <v>4107.2</v>
      </c>
      <c r="O141" s="70">
        <v>4107.2</v>
      </c>
      <c r="P141" s="70"/>
      <c r="Q141" s="70"/>
      <c r="R141" s="67">
        <f t="shared" si="164"/>
        <v>1762.2</v>
      </c>
      <c r="S141" s="70">
        <v>1762.2</v>
      </c>
      <c r="T141" s="70"/>
      <c r="U141" s="70"/>
      <c r="V141" s="78">
        <f t="shared" si="154"/>
        <v>0.60499999999999998</v>
      </c>
    </row>
    <row r="142" spans="1:103" s="42" customFormat="1" ht="18.75">
      <c r="A142" s="33" t="s">
        <v>102</v>
      </c>
      <c r="B142" s="24" t="s">
        <v>203</v>
      </c>
      <c r="C142" s="25" t="s">
        <v>12</v>
      </c>
      <c r="D142" s="35" t="s">
        <v>12</v>
      </c>
      <c r="E142" s="25" t="s">
        <v>12</v>
      </c>
      <c r="F142" s="67">
        <f t="shared" si="150"/>
        <v>95502.399999999994</v>
      </c>
      <c r="G142" s="68">
        <f t="shared" ref="G142:H142" si="165">G144</f>
        <v>15364.7</v>
      </c>
      <c r="H142" s="68">
        <f t="shared" si="165"/>
        <v>75016.100000000006</v>
      </c>
      <c r="I142" s="68">
        <f t="shared" ref="I142" si="166">I144</f>
        <v>5121.6000000000004</v>
      </c>
      <c r="J142" s="68">
        <f t="shared" si="162"/>
        <v>28016</v>
      </c>
      <c r="K142" s="68">
        <f t="shared" ref="K142:M142" si="167">K144</f>
        <v>4507.3</v>
      </c>
      <c r="L142" s="68">
        <f t="shared" si="167"/>
        <v>22006.3</v>
      </c>
      <c r="M142" s="68">
        <f t="shared" si="167"/>
        <v>1502.4</v>
      </c>
      <c r="N142" s="68">
        <f t="shared" si="163"/>
        <v>94407.1</v>
      </c>
      <c r="O142" s="68">
        <f t="shared" ref="O142:T142" si="168">O144</f>
        <v>11749.5</v>
      </c>
      <c r="P142" s="68">
        <f t="shared" si="168"/>
        <v>78631.3</v>
      </c>
      <c r="Q142" s="68">
        <f t="shared" si="168"/>
        <v>4026.3</v>
      </c>
      <c r="R142" s="68">
        <f t="shared" si="164"/>
        <v>97993.4</v>
      </c>
      <c r="S142" s="68">
        <f t="shared" si="168"/>
        <v>12210</v>
      </c>
      <c r="T142" s="68">
        <f t="shared" si="168"/>
        <v>81713.399999999994</v>
      </c>
      <c r="U142" s="68">
        <f t="shared" ref="U142" si="169">U144</f>
        <v>4070</v>
      </c>
      <c r="V142" s="72">
        <f t="shared" si="154"/>
        <v>0.29299999999999998</v>
      </c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</row>
    <row r="143" spans="1:103" ht="18.75">
      <c r="A143" s="37"/>
      <c r="B143" s="16" t="s">
        <v>15</v>
      </c>
      <c r="C143" s="7"/>
      <c r="D143" s="8"/>
      <c r="E143" s="7"/>
      <c r="F143" s="67"/>
      <c r="G143" s="68"/>
      <c r="H143" s="68"/>
      <c r="I143" s="68"/>
      <c r="J143" s="68"/>
      <c r="K143" s="68"/>
      <c r="L143" s="68"/>
      <c r="M143" s="68"/>
      <c r="N143" s="67"/>
      <c r="O143" s="68"/>
      <c r="P143" s="68"/>
      <c r="Q143" s="68"/>
      <c r="R143" s="67"/>
      <c r="S143" s="68"/>
      <c r="T143" s="68"/>
      <c r="U143" s="68"/>
      <c r="V143" s="72"/>
    </row>
    <row r="144" spans="1:103" ht="66">
      <c r="A144" s="37"/>
      <c r="B144" s="17" t="s">
        <v>205</v>
      </c>
      <c r="C144" s="64">
        <v>810</v>
      </c>
      <c r="D144" s="65" t="s">
        <v>103</v>
      </c>
      <c r="E144" s="53" t="s">
        <v>204</v>
      </c>
      <c r="F144" s="67">
        <f t="shared" si="150"/>
        <v>95502.399999999994</v>
      </c>
      <c r="G144" s="70">
        <v>15364.7</v>
      </c>
      <c r="H144" s="70">
        <v>75016.100000000006</v>
      </c>
      <c r="I144" s="70">
        <v>5121.6000000000004</v>
      </c>
      <c r="J144" s="68">
        <f t="shared" ref="J144:J146" si="170">K144+L144+M144</f>
        <v>28016</v>
      </c>
      <c r="K144" s="70">
        <v>4507.3</v>
      </c>
      <c r="L144" s="70">
        <v>22006.3</v>
      </c>
      <c r="M144" s="70">
        <v>1502.4</v>
      </c>
      <c r="N144" s="67">
        <f t="shared" ref="N144:N146" si="171">O144+P144+Q144</f>
        <v>94407.1</v>
      </c>
      <c r="O144" s="70">
        <v>11749.5</v>
      </c>
      <c r="P144" s="70">
        <v>78631.3</v>
      </c>
      <c r="Q144" s="70">
        <v>4026.3</v>
      </c>
      <c r="R144" s="67">
        <f t="shared" ref="R144:R146" si="172">S144+T144+U144</f>
        <v>97993.4</v>
      </c>
      <c r="S144" s="70">
        <v>12210</v>
      </c>
      <c r="T144" s="70">
        <v>81713.399999999994</v>
      </c>
      <c r="U144" s="70">
        <v>4070</v>
      </c>
      <c r="V144" s="78">
        <f t="shared" si="154"/>
        <v>0.29299999999999998</v>
      </c>
    </row>
    <row r="145" spans="1:103" s="55" customFormat="1" ht="39" customHeight="1">
      <c r="A145" s="38" t="s">
        <v>106</v>
      </c>
      <c r="B145" s="22" t="s">
        <v>107</v>
      </c>
      <c r="C145" s="1" t="s">
        <v>12</v>
      </c>
      <c r="D145" s="1" t="s">
        <v>12</v>
      </c>
      <c r="E145" s="1" t="s">
        <v>12</v>
      </c>
      <c r="F145" s="73">
        <f t="shared" si="150"/>
        <v>4474473.7</v>
      </c>
      <c r="G145" s="73">
        <f>G146+G155+G149</f>
        <v>3498773.7</v>
      </c>
      <c r="H145" s="73">
        <f>H146+H155+H149</f>
        <v>680000</v>
      </c>
      <c r="I145" s="73">
        <f>I146+I155+I149</f>
        <v>295700</v>
      </c>
      <c r="J145" s="73">
        <f t="shared" si="170"/>
        <v>637257.6</v>
      </c>
      <c r="K145" s="73">
        <f>K146+K155+K149</f>
        <v>637257.6</v>
      </c>
      <c r="L145" s="73">
        <f>L146+L155+L149</f>
        <v>0</v>
      </c>
      <c r="M145" s="73">
        <f>M146+M155+M149</f>
        <v>0</v>
      </c>
      <c r="N145" s="73">
        <f t="shared" si="171"/>
        <v>4737224.5</v>
      </c>
      <c r="O145" s="73">
        <f>O146+O155+O149</f>
        <v>4567224.5</v>
      </c>
      <c r="P145" s="73">
        <f>P146+P155+P149</f>
        <v>120000</v>
      </c>
      <c r="Q145" s="73">
        <f>Q146+Q155+Q149</f>
        <v>50000</v>
      </c>
      <c r="R145" s="73">
        <f t="shared" si="172"/>
        <v>5639093.2000000002</v>
      </c>
      <c r="S145" s="73">
        <f>S146+S155+S149</f>
        <v>5469093.2000000002</v>
      </c>
      <c r="T145" s="73">
        <f>T146+T155+T149</f>
        <v>120000</v>
      </c>
      <c r="U145" s="73">
        <f>U146+U155+U149</f>
        <v>50000</v>
      </c>
      <c r="V145" s="74">
        <f t="shared" si="154"/>
        <v>0.14199999999999999</v>
      </c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</row>
    <row r="146" spans="1:103" ht="26.25" customHeight="1">
      <c r="A146" s="36" t="s">
        <v>108</v>
      </c>
      <c r="B146" s="15" t="s">
        <v>109</v>
      </c>
      <c r="C146" s="6" t="s">
        <v>12</v>
      </c>
      <c r="D146" s="6" t="s">
        <v>12</v>
      </c>
      <c r="E146" s="6" t="s">
        <v>12</v>
      </c>
      <c r="F146" s="67">
        <f t="shared" si="150"/>
        <v>4242547.8</v>
      </c>
      <c r="G146" s="68">
        <f>SUM(G148:G148)</f>
        <v>3266847.8</v>
      </c>
      <c r="H146" s="68">
        <f>SUM(H148:H148)</f>
        <v>680000</v>
      </c>
      <c r="I146" s="68">
        <f>SUM(I148:I148)</f>
        <v>295700</v>
      </c>
      <c r="J146" s="67">
        <f t="shared" si="170"/>
        <v>618458.69999999995</v>
      </c>
      <c r="K146" s="68">
        <f>SUM(K148:K148)</f>
        <v>618458.69999999995</v>
      </c>
      <c r="L146" s="68">
        <f>SUM(L148:L148)</f>
        <v>0</v>
      </c>
      <c r="M146" s="68">
        <f>SUM(M148:M148)</f>
        <v>0</v>
      </c>
      <c r="N146" s="67">
        <f t="shared" si="171"/>
        <v>4411196.0999999996</v>
      </c>
      <c r="O146" s="68">
        <f>SUM(O148:O148)</f>
        <v>4361196.0999999996</v>
      </c>
      <c r="P146" s="68">
        <f>SUM(P148:P148)</f>
        <v>0</v>
      </c>
      <c r="Q146" s="68">
        <f>SUM(Q148:Q148)</f>
        <v>50000</v>
      </c>
      <c r="R146" s="67">
        <f t="shared" si="172"/>
        <v>5321513.2</v>
      </c>
      <c r="S146" s="68">
        <f>SUM(S148:S148)</f>
        <v>5271513.2</v>
      </c>
      <c r="T146" s="68">
        <f>SUM(T148:T148)</f>
        <v>0</v>
      </c>
      <c r="U146" s="68">
        <f>SUM(U148:U148)</f>
        <v>50000</v>
      </c>
      <c r="V146" s="69">
        <f t="shared" si="154"/>
        <v>0.14599999999999999</v>
      </c>
    </row>
    <row r="147" spans="1:103" ht="18.75">
      <c r="A147" s="37"/>
      <c r="B147" s="16" t="s">
        <v>15</v>
      </c>
      <c r="C147" s="7"/>
      <c r="D147" s="7"/>
      <c r="E147" s="7"/>
      <c r="F147" s="68"/>
      <c r="G147" s="68"/>
      <c r="H147" s="68"/>
      <c r="I147" s="68"/>
      <c r="J147" s="68"/>
      <c r="K147" s="68"/>
      <c r="L147" s="68"/>
      <c r="M147" s="68"/>
      <c r="N147" s="67"/>
      <c r="O147" s="68"/>
      <c r="P147" s="68"/>
      <c r="Q147" s="68"/>
      <c r="R147" s="67"/>
      <c r="S147" s="68"/>
      <c r="T147" s="68"/>
      <c r="U147" s="68"/>
      <c r="V147" s="72"/>
    </row>
    <row r="148" spans="1:103" ht="66">
      <c r="A148" s="37"/>
      <c r="B148" s="17" t="s">
        <v>110</v>
      </c>
      <c r="C148" s="64">
        <v>822</v>
      </c>
      <c r="D148" s="65" t="s">
        <v>111</v>
      </c>
      <c r="E148" s="53" t="s">
        <v>202</v>
      </c>
      <c r="F148" s="67">
        <f t="shared" si="150"/>
        <v>4242547.8</v>
      </c>
      <c r="G148" s="70">
        <f>3422994.8-156147</f>
        <v>3266847.8</v>
      </c>
      <c r="H148" s="70">
        <f>340000+340000</f>
        <v>680000</v>
      </c>
      <c r="I148" s="70">
        <v>295700</v>
      </c>
      <c r="J148" s="68">
        <f t="shared" ref="J148:J149" si="173">K148+L148+M148</f>
        <v>618458.69999999995</v>
      </c>
      <c r="K148" s="70">
        <f>487335.4+131123.3</f>
        <v>618458.69999999995</v>
      </c>
      <c r="L148" s="70"/>
      <c r="M148" s="70"/>
      <c r="N148" s="67">
        <f t="shared" ref="N148:N149" si="174">O148+P148+Q148</f>
        <v>4411196.0999999996</v>
      </c>
      <c r="O148" s="70">
        <v>4361196.0999999996</v>
      </c>
      <c r="P148" s="70"/>
      <c r="Q148" s="70">
        <v>50000</v>
      </c>
      <c r="R148" s="67">
        <f t="shared" ref="R148:R149" si="175">S148+T148+U148</f>
        <v>5321513.2</v>
      </c>
      <c r="S148" s="70">
        <v>5271513.2</v>
      </c>
      <c r="T148" s="70"/>
      <c r="U148" s="70">
        <v>50000</v>
      </c>
      <c r="V148" s="78">
        <f t="shared" si="154"/>
        <v>0.14599999999999999</v>
      </c>
    </row>
    <row r="149" spans="1:103" ht="36.75" customHeight="1">
      <c r="A149" s="36" t="s">
        <v>242</v>
      </c>
      <c r="B149" s="15" t="s">
        <v>253</v>
      </c>
      <c r="C149" s="6" t="s">
        <v>12</v>
      </c>
      <c r="D149" s="6" t="s">
        <v>12</v>
      </c>
      <c r="E149" s="6" t="s">
        <v>12</v>
      </c>
      <c r="F149" s="67">
        <f t="shared" si="150"/>
        <v>180127</v>
      </c>
      <c r="G149" s="68">
        <f>SUM(G151:G154)</f>
        <v>180127</v>
      </c>
      <c r="H149" s="68">
        <f>SUM(H151:H154)</f>
        <v>0</v>
      </c>
      <c r="I149" s="68">
        <f>SUM(I151:I154)</f>
        <v>0</v>
      </c>
      <c r="J149" s="67">
        <f t="shared" si="173"/>
        <v>0</v>
      </c>
      <c r="K149" s="68">
        <f>SUM(K151:K154)</f>
        <v>0</v>
      </c>
      <c r="L149" s="68">
        <f>SUM(L151:L154)</f>
        <v>0</v>
      </c>
      <c r="M149" s="68">
        <f>SUM(M151:M154)</f>
        <v>0</v>
      </c>
      <c r="N149" s="67">
        <f t="shared" si="174"/>
        <v>152278.39999999999</v>
      </c>
      <c r="O149" s="68">
        <f>SUM(O151:O154)</f>
        <v>152278.39999999999</v>
      </c>
      <c r="P149" s="68">
        <f>SUM(P151:P154)</f>
        <v>0</v>
      </c>
      <c r="Q149" s="68">
        <f>SUM(Q151:Q154)</f>
        <v>0</v>
      </c>
      <c r="R149" s="67">
        <f t="shared" si="175"/>
        <v>157580</v>
      </c>
      <c r="S149" s="68">
        <f>SUM(S151:S154)</f>
        <v>157580</v>
      </c>
      <c r="T149" s="68">
        <f>SUM(T151:T154)</f>
        <v>0</v>
      </c>
      <c r="U149" s="68">
        <f>SUM(U151:U154)</f>
        <v>0</v>
      </c>
      <c r="V149" s="69">
        <f t="shared" si="154"/>
        <v>0</v>
      </c>
    </row>
    <row r="150" spans="1:103" ht="18.75">
      <c r="A150" s="37"/>
      <c r="B150" s="16" t="s">
        <v>15</v>
      </c>
      <c r="C150" s="7"/>
      <c r="D150" s="7"/>
      <c r="E150" s="7"/>
      <c r="F150" s="68"/>
      <c r="G150" s="70"/>
      <c r="H150" s="70"/>
      <c r="I150" s="70"/>
      <c r="J150" s="68"/>
      <c r="K150" s="70"/>
      <c r="L150" s="70"/>
      <c r="M150" s="70"/>
      <c r="N150" s="67"/>
      <c r="O150" s="70"/>
      <c r="P150" s="70"/>
      <c r="Q150" s="70"/>
      <c r="R150" s="67"/>
      <c r="S150" s="70"/>
      <c r="T150" s="70"/>
      <c r="U150" s="70"/>
      <c r="V150" s="78"/>
    </row>
    <row r="151" spans="1:103" ht="64.5" customHeight="1">
      <c r="A151" s="37"/>
      <c r="B151" s="17" t="s">
        <v>110</v>
      </c>
      <c r="C151" s="64">
        <v>811</v>
      </c>
      <c r="D151" s="65" t="s">
        <v>17</v>
      </c>
      <c r="E151" s="64" t="s">
        <v>241</v>
      </c>
      <c r="F151" s="68">
        <f t="shared" si="150"/>
        <v>367.5</v>
      </c>
      <c r="G151" s="70">
        <v>367.5</v>
      </c>
      <c r="H151" s="70"/>
      <c r="I151" s="70"/>
      <c r="J151" s="68">
        <f t="shared" ref="J151:J155" si="176">K151+L151+M151</f>
        <v>0</v>
      </c>
      <c r="K151" s="70"/>
      <c r="L151" s="70"/>
      <c r="M151" s="70"/>
      <c r="N151" s="67">
        <f t="shared" ref="N151:N155" si="177">O151+P151+Q151</f>
        <v>367.5</v>
      </c>
      <c r="O151" s="70">
        <v>367.5</v>
      </c>
      <c r="P151" s="70"/>
      <c r="Q151" s="70"/>
      <c r="R151" s="67">
        <f t="shared" ref="R151:R155" si="178">S151+T151+U151</f>
        <v>367.5</v>
      </c>
      <c r="S151" s="70">
        <v>367.5</v>
      </c>
      <c r="T151" s="70"/>
      <c r="U151" s="70"/>
      <c r="V151" s="78">
        <f t="shared" si="154"/>
        <v>0</v>
      </c>
    </row>
    <row r="152" spans="1:103" ht="59.25" customHeight="1">
      <c r="A152" s="37"/>
      <c r="B152" s="17" t="s">
        <v>110</v>
      </c>
      <c r="C152" s="64">
        <v>815</v>
      </c>
      <c r="D152" s="65" t="s">
        <v>50</v>
      </c>
      <c r="E152" s="64" t="s">
        <v>241</v>
      </c>
      <c r="F152" s="68">
        <f t="shared" si="150"/>
        <v>2931.5</v>
      </c>
      <c r="G152" s="70">
        <v>2931.5</v>
      </c>
      <c r="H152" s="70"/>
      <c r="I152" s="70"/>
      <c r="J152" s="68">
        <f t="shared" si="176"/>
        <v>0</v>
      </c>
      <c r="K152" s="70"/>
      <c r="L152" s="70"/>
      <c r="M152" s="70"/>
      <c r="N152" s="67">
        <f t="shared" si="177"/>
        <v>2931.5</v>
      </c>
      <c r="O152" s="70">
        <v>2931.5</v>
      </c>
      <c r="P152" s="70"/>
      <c r="Q152" s="70"/>
      <c r="R152" s="67">
        <f t="shared" si="178"/>
        <v>2931.5</v>
      </c>
      <c r="S152" s="70">
        <v>2931.5</v>
      </c>
      <c r="T152" s="70"/>
      <c r="U152" s="70"/>
      <c r="V152" s="78">
        <f t="shared" si="154"/>
        <v>0</v>
      </c>
    </row>
    <row r="153" spans="1:103" ht="54.75" customHeight="1">
      <c r="A153" s="37"/>
      <c r="B153" s="17" t="s">
        <v>110</v>
      </c>
      <c r="C153" s="64">
        <v>816</v>
      </c>
      <c r="D153" s="65" t="s">
        <v>53</v>
      </c>
      <c r="E153" s="64" t="s">
        <v>241</v>
      </c>
      <c r="F153" s="68">
        <f t="shared" si="150"/>
        <v>81</v>
      </c>
      <c r="G153" s="70">
        <v>81</v>
      </c>
      <c r="H153" s="70"/>
      <c r="I153" s="70"/>
      <c r="J153" s="68">
        <f t="shared" si="176"/>
        <v>0</v>
      </c>
      <c r="K153" s="70"/>
      <c r="L153" s="70"/>
      <c r="M153" s="70"/>
      <c r="N153" s="67">
        <f t="shared" si="177"/>
        <v>81</v>
      </c>
      <c r="O153" s="70">
        <v>81</v>
      </c>
      <c r="P153" s="70"/>
      <c r="Q153" s="70"/>
      <c r="R153" s="67">
        <f t="shared" si="178"/>
        <v>81</v>
      </c>
      <c r="S153" s="70">
        <v>81</v>
      </c>
      <c r="T153" s="70"/>
      <c r="U153" s="70"/>
      <c r="V153" s="78">
        <f t="shared" si="154"/>
        <v>0</v>
      </c>
    </row>
    <row r="154" spans="1:103" ht="65.25" customHeight="1">
      <c r="A154" s="37"/>
      <c r="B154" s="17" t="s">
        <v>110</v>
      </c>
      <c r="C154" s="64">
        <v>822</v>
      </c>
      <c r="D154" s="65" t="s">
        <v>111</v>
      </c>
      <c r="E154" s="64" t="s">
        <v>241</v>
      </c>
      <c r="F154" s="68">
        <f t="shared" si="150"/>
        <v>176747</v>
      </c>
      <c r="G154" s="70">
        <v>176747</v>
      </c>
      <c r="H154" s="70"/>
      <c r="I154" s="70"/>
      <c r="J154" s="68">
        <f t="shared" si="176"/>
        <v>0</v>
      </c>
      <c r="K154" s="70"/>
      <c r="L154" s="70"/>
      <c r="M154" s="70"/>
      <c r="N154" s="67">
        <f t="shared" si="177"/>
        <v>148898.4</v>
      </c>
      <c r="O154" s="70">
        <v>148898.4</v>
      </c>
      <c r="P154" s="70"/>
      <c r="Q154" s="70"/>
      <c r="R154" s="67">
        <f t="shared" si="178"/>
        <v>154200</v>
      </c>
      <c r="S154" s="70">
        <v>154200</v>
      </c>
      <c r="T154" s="70"/>
      <c r="U154" s="70"/>
      <c r="V154" s="78">
        <f t="shared" si="154"/>
        <v>0</v>
      </c>
    </row>
    <row r="155" spans="1:103" s="42" customFormat="1" ht="38.25" customHeight="1">
      <c r="A155" s="33" t="s">
        <v>252</v>
      </c>
      <c r="B155" s="24" t="s">
        <v>238</v>
      </c>
      <c r="C155" s="25" t="s">
        <v>12</v>
      </c>
      <c r="D155" s="25" t="s">
        <v>12</v>
      </c>
      <c r="E155" s="25" t="s">
        <v>12</v>
      </c>
      <c r="F155" s="68">
        <f t="shared" si="150"/>
        <v>51798.9</v>
      </c>
      <c r="G155" s="68">
        <f>SUM(G157:G158)</f>
        <v>51798.9</v>
      </c>
      <c r="H155" s="68">
        <f>SUM(H157:H158)</f>
        <v>0</v>
      </c>
      <c r="I155" s="68">
        <f>SUM(I157:I158)</f>
        <v>0</v>
      </c>
      <c r="J155" s="68">
        <f t="shared" si="176"/>
        <v>18798.900000000001</v>
      </c>
      <c r="K155" s="68">
        <f>SUM(K157:K158)</f>
        <v>18798.900000000001</v>
      </c>
      <c r="L155" s="68">
        <f>SUM(L157:L158)</f>
        <v>0</v>
      </c>
      <c r="M155" s="68">
        <f>SUM(M157:M158)</f>
        <v>0</v>
      </c>
      <c r="N155" s="68">
        <f t="shared" si="177"/>
        <v>173750</v>
      </c>
      <c r="O155" s="68">
        <f>SUM(O157:O158)</f>
        <v>53750</v>
      </c>
      <c r="P155" s="68">
        <f>SUM(P157:P158)</f>
        <v>120000</v>
      </c>
      <c r="Q155" s="68">
        <f>SUM(Q157:Q158)</f>
        <v>0</v>
      </c>
      <c r="R155" s="68">
        <f t="shared" si="178"/>
        <v>160000</v>
      </c>
      <c r="S155" s="68">
        <f>SUM(S157:S158)</f>
        <v>40000</v>
      </c>
      <c r="T155" s="68">
        <f>SUM(T157:T158)</f>
        <v>120000</v>
      </c>
      <c r="U155" s="68">
        <f>SUM(U157:U158)</f>
        <v>0</v>
      </c>
      <c r="V155" s="72">
        <f t="shared" si="154"/>
        <v>0.36299999999999999</v>
      </c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</row>
    <row r="156" spans="1:103" ht="22.5" customHeight="1">
      <c r="A156" s="37"/>
      <c r="B156" s="16" t="s">
        <v>15</v>
      </c>
      <c r="C156" s="7"/>
      <c r="D156" s="7"/>
      <c r="E156" s="7"/>
      <c r="F156" s="68"/>
      <c r="G156" s="68"/>
      <c r="H156" s="68"/>
      <c r="I156" s="68"/>
      <c r="J156" s="68"/>
      <c r="K156" s="68"/>
      <c r="L156" s="68"/>
      <c r="M156" s="68"/>
      <c r="N156" s="67"/>
      <c r="O156" s="68"/>
      <c r="P156" s="68"/>
      <c r="Q156" s="68"/>
      <c r="R156" s="67"/>
      <c r="S156" s="68"/>
      <c r="T156" s="68"/>
      <c r="U156" s="68"/>
      <c r="V156" s="72"/>
    </row>
    <row r="157" spans="1:103" ht="93" customHeight="1">
      <c r="A157" s="37"/>
      <c r="B157" s="17" t="s">
        <v>246</v>
      </c>
      <c r="C157" s="64">
        <v>822</v>
      </c>
      <c r="D157" s="65" t="s">
        <v>111</v>
      </c>
      <c r="E157" s="64" t="s">
        <v>245</v>
      </c>
      <c r="F157" s="68">
        <f t="shared" si="150"/>
        <v>0</v>
      </c>
      <c r="G157" s="70"/>
      <c r="H157" s="70"/>
      <c r="I157" s="70"/>
      <c r="J157" s="68">
        <f t="shared" ref="J157:J160" si="179">K157+L157+M157</f>
        <v>0</v>
      </c>
      <c r="K157" s="70"/>
      <c r="L157" s="70"/>
      <c r="M157" s="70"/>
      <c r="N157" s="67">
        <f t="shared" ref="N157:N160" si="180">O157+P157+Q157</f>
        <v>120000</v>
      </c>
      <c r="O157" s="70"/>
      <c r="P157" s="70">
        <v>120000</v>
      </c>
      <c r="Q157" s="70"/>
      <c r="R157" s="67">
        <f t="shared" ref="R157:R160" si="181">S157+T157+U157</f>
        <v>120000</v>
      </c>
      <c r="S157" s="70"/>
      <c r="T157" s="70">
        <v>120000</v>
      </c>
      <c r="U157" s="70"/>
      <c r="V157" s="78"/>
    </row>
    <row r="158" spans="1:103" ht="56.25" customHeight="1">
      <c r="A158" s="37"/>
      <c r="B158" s="17" t="s">
        <v>110</v>
      </c>
      <c r="C158" s="64">
        <v>822</v>
      </c>
      <c r="D158" s="65" t="s">
        <v>111</v>
      </c>
      <c r="E158" s="64" t="s">
        <v>307</v>
      </c>
      <c r="F158" s="68">
        <f t="shared" si="150"/>
        <v>51798.9</v>
      </c>
      <c r="G158" s="70">
        <f>33000+18798.9</f>
        <v>51798.9</v>
      </c>
      <c r="H158" s="70"/>
      <c r="I158" s="70"/>
      <c r="J158" s="68">
        <f t="shared" si="179"/>
        <v>18798.900000000001</v>
      </c>
      <c r="K158" s="70">
        <v>18798.900000000001</v>
      </c>
      <c r="L158" s="70"/>
      <c r="M158" s="70"/>
      <c r="N158" s="67">
        <f t="shared" si="180"/>
        <v>53750</v>
      </c>
      <c r="O158" s="70">
        <v>53750</v>
      </c>
      <c r="P158" s="70"/>
      <c r="Q158" s="70"/>
      <c r="R158" s="67">
        <f t="shared" si="181"/>
        <v>40000</v>
      </c>
      <c r="S158" s="70">
        <v>40000</v>
      </c>
      <c r="T158" s="70"/>
      <c r="U158" s="70"/>
      <c r="V158" s="78">
        <f t="shared" si="154"/>
        <v>0.36299999999999999</v>
      </c>
    </row>
    <row r="159" spans="1:103" s="55" customFormat="1" ht="28.5" customHeight="1">
      <c r="A159" s="38" t="s">
        <v>112</v>
      </c>
      <c r="B159" s="21" t="s">
        <v>113</v>
      </c>
      <c r="C159" s="1" t="s">
        <v>12</v>
      </c>
      <c r="D159" s="1" t="s">
        <v>12</v>
      </c>
      <c r="E159" s="1" t="s">
        <v>12</v>
      </c>
      <c r="F159" s="73">
        <f t="shared" si="150"/>
        <v>81832.600000000006</v>
      </c>
      <c r="G159" s="73">
        <f>G160+G168+G171</f>
        <v>22805.9</v>
      </c>
      <c r="H159" s="73">
        <f>H160+H168+H171</f>
        <v>56845.2</v>
      </c>
      <c r="I159" s="73">
        <f>I160+I168+I171</f>
        <v>2181.5</v>
      </c>
      <c r="J159" s="73">
        <f t="shared" si="179"/>
        <v>6786.3</v>
      </c>
      <c r="K159" s="73">
        <f>K160+K168+K171</f>
        <v>309.10000000000002</v>
      </c>
      <c r="L159" s="73">
        <f>L160+L168+L171</f>
        <v>6295.4</v>
      </c>
      <c r="M159" s="73">
        <f>M160+M168+M171</f>
        <v>181.8</v>
      </c>
      <c r="N159" s="73">
        <f t="shared" si="180"/>
        <v>142214.20000000001</v>
      </c>
      <c r="O159" s="73">
        <f>O160+O168+O171</f>
        <v>21994.799999999999</v>
      </c>
      <c r="P159" s="73">
        <f>P160+P168+P171</f>
        <v>120219.4</v>
      </c>
      <c r="Q159" s="73">
        <f>Q160+Q168+Q171</f>
        <v>0</v>
      </c>
      <c r="R159" s="73">
        <f t="shared" si="181"/>
        <v>239867.5</v>
      </c>
      <c r="S159" s="73">
        <f>S160+S168+S171</f>
        <v>28172.1</v>
      </c>
      <c r="T159" s="73">
        <f>T160+T168+T171</f>
        <v>211695.4</v>
      </c>
      <c r="U159" s="73">
        <f>U160+U168+U171</f>
        <v>0</v>
      </c>
      <c r="V159" s="74">
        <f t="shared" si="154"/>
        <v>8.3000000000000004E-2</v>
      </c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</row>
    <row r="160" spans="1:103" ht="33">
      <c r="A160" s="36" t="s">
        <v>114</v>
      </c>
      <c r="B160" s="15" t="s">
        <v>115</v>
      </c>
      <c r="C160" s="6" t="s">
        <v>12</v>
      </c>
      <c r="D160" s="6" t="s">
        <v>12</v>
      </c>
      <c r="E160" s="6" t="s">
        <v>12</v>
      </c>
      <c r="F160" s="68">
        <f t="shared" si="150"/>
        <v>65213.7</v>
      </c>
      <c r="G160" s="68">
        <f>SUM(G162:G167)</f>
        <v>8539.6</v>
      </c>
      <c r="H160" s="68">
        <f>SUM(H162:H167)</f>
        <v>54545.2</v>
      </c>
      <c r="I160" s="68">
        <f>SUM(I162:I167)</f>
        <v>2128.9</v>
      </c>
      <c r="J160" s="68">
        <f t="shared" si="179"/>
        <v>6786.3</v>
      </c>
      <c r="K160" s="68">
        <f>SUM(K162:K167)</f>
        <v>309.10000000000002</v>
      </c>
      <c r="L160" s="68">
        <f>SUM(L162:L167)</f>
        <v>6295.4</v>
      </c>
      <c r="M160" s="68">
        <f>SUM(M162:M167)</f>
        <v>181.8</v>
      </c>
      <c r="N160" s="67">
        <f t="shared" si="180"/>
        <v>121019.9</v>
      </c>
      <c r="O160" s="68">
        <f>SUM(O162:O167)</f>
        <v>7800.5</v>
      </c>
      <c r="P160" s="68">
        <f>SUM(P162:P167)</f>
        <v>113219.4</v>
      </c>
      <c r="Q160" s="68">
        <f>SUM(Q162:Q167)</f>
        <v>0</v>
      </c>
      <c r="R160" s="67">
        <f t="shared" si="181"/>
        <v>224373.2</v>
      </c>
      <c r="S160" s="68">
        <f>SUM(S162:S167)</f>
        <v>13977.8</v>
      </c>
      <c r="T160" s="68">
        <f>SUM(T162:T167)</f>
        <v>210395.4</v>
      </c>
      <c r="U160" s="68">
        <f>SUM(U162:U167)</f>
        <v>0</v>
      </c>
      <c r="V160" s="72">
        <f t="shared" si="154"/>
        <v>0.104</v>
      </c>
    </row>
    <row r="161" spans="1:103" ht="18.75">
      <c r="A161" s="37"/>
      <c r="B161" s="16" t="s">
        <v>15</v>
      </c>
      <c r="C161" s="7"/>
      <c r="D161" s="7"/>
      <c r="E161" s="7"/>
      <c r="F161" s="68"/>
      <c r="G161" s="68"/>
      <c r="H161" s="68"/>
      <c r="I161" s="68"/>
      <c r="J161" s="68"/>
      <c r="K161" s="68"/>
      <c r="L161" s="68"/>
      <c r="M161" s="68"/>
      <c r="N161" s="67"/>
      <c r="O161" s="68"/>
      <c r="P161" s="68"/>
      <c r="Q161" s="68"/>
      <c r="R161" s="67"/>
      <c r="S161" s="68"/>
      <c r="T161" s="68"/>
      <c r="U161" s="68"/>
      <c r="V161" s="72"/>
    </row>
    <row r="162" spans="1:103" ht="36.75" customHeight="1">
      <c r="A162" s="39"/>
      <c r="B162" s="30" t="s">
        <v>190</v>
      </c>
      <c r="C162" s="53">
        <v>821</v>
      </c>
      <c r="D162" s="61" t="s">
        <v>19</v>
      </c>
      <c r="E162" s="53" t="s">
        <v>191</v>
      </c>
      <c r="F162" s="68">
        <f t="shared" si="150"/>
        <v>31701.4</v>
      </c>
      <c r="G162" s="70">
        <v>5027.3</v>
      </c>
      <c r="H162" s="70">
        <v>24545.200000000001</v>
      </c>
      <c r="I162" s="70">
        <v>2128.9</v>
      </c>
      <c r="J162" s="68">
        <f t="shared" ref="J162:J168" si="182">K162+L162+M162</f>
        <v>2000</v>
      </c>
      <c r="K162" s="70">
        <v>309.10000000000002</v>
      </c>
      <c r="L162" s="70">
        <v>1509.1</v>
      </c>
      <c r="M162" s="70">
        <v>181.8</v>
      </c>
      <c r="N162" s="68">
        <f t="shared" ref="N162:N168" si="183">O162+P162+Q162</f>
        <v>30224.2</v>
      </c>
      <c r="O162" s="70">
        <v>3929.1</v>
      </c>
      <c r="P162" s="70">
        <v>26295.1</v>
      </c>
      <c r="Q162" s="70"/>
      <c r="R162" s="68">
        <f t="shared" ref="R162:R168" si="184">S162+T162+U162</f>
        <v>72466.399999999994</v>
      </c>
      <c r="S162" s="70">
        <v>9420.6</v>
      </c>
      <c r="T162" s="70">
        <v>63045.8</v>
      </c>
      <c r="U162" s="70"/>
      <c r="V162" s="78">
        <f t="shared" si="154"/>
        <v>6.3E-2</v>
      </c>
    </row>
    <row r="163" spans="1:103" ht="44.25" customHeight="1">
      <c r="A163" s="39"/>
      <c r="B163" s="30" t="s">
        <v>291</v>
      </c>
      <c r="C163" s="53">
        <v>821</v>
      </c>
      <c r="D163" s="61" t="s">
        <v>19</v>
      </c>
      <c r="E163" s="53" t="s">
        <v>292</v>
      </c>
      <c r="F163" s="68">
        <f t="shared" si="150"/>
        <v>3512.3</v>
      </c>
      <c r="G163" s="70">
        <v>3512.3</v>
      </c>
      <c r="H163" s="70"/>
      <c r="I163" s="70"/>
      <c r="J163" s="68">
        <f t="shared" si="182"/>
        <v>0</v>
      </c>
      <c r="K163" s="70"/>
      <c r="L163" s="70"/>
      <c r="M163" s="70"/>
      <c r="N163" s="68">
        <f t="shared" si="183"/>
        <v>0</v>
      </c>
      <c r="O163" s="70"/>
      <c r="P163" s="70"/>
      <c r="Q163" s="70"/>
      <c r="R163" s="68">
        <f t="shared" si="184"/>
        <v>0</v>
      </c>
      <c r="S163" s="70"/>
      <c r="T163" s="70"/>
      <c r="U163" s="70"/>
      <c r="V163" s="78">
        <f t="shared" si="154"/>
        <v>0</v>
      </c>
    </row>
    <row r="164" spans="1:103" ht="75.75" customHeight="1">
      <c r="A164" s="39"/>
      <c r="B164" s="30" t="s">
        <v>294</v>
      </c>
      <c r="C164" s="53">
        <v>814</v>
      </c>
      <c r="D164" s="61" t="s">
        <v>116</v>
      </c>
      <c r="E164" s="53" t="s">
        <v>293</v>
      </c>
      <c r="F164" s="68">
        <f t="shared" si="150"/>
        <v>0</v>
      </c>
      <c r="G164" s="70"/>
      <c r="H164" s="70"/>
      <c r="I164" s="70"/>
      <c r="J164" s="68">
        <f t="shared" si="182"/>
        <v>0</v>
      </c>
      <c r="K164" s="70"/>
      <c r="L164" s="70"/>
      <c r="M164" s="70"/>
      <c r="N164" s="68">
        <f t="shared" si="183"/>
        <v>22950.9</v>
      </c>
      <c r="O164" s="70">
        <v>1836.1</v>
      </c>
      <c r="P164" s="70">
        <v>21114.799999999999</v>
      </c>
      <c r="Q164" s="70"/>
      <c r="R164" s="68">
        <f t="shared" si="184"/>
        <v>0</v>
      </c>
      <c r="S164" s="70"/>
      <c r="T164" s="70"/>
      <c r="U164" s="70"/>
      <c r="V164" s="78"/>
    </row>
    <row r="165" spans="1:103" ht="60" customHeight="1">
      <c r="A165" s="39"/>
      <c r="B165" s="30" t="s">
        <v>296</v>
      </c>
      <c r="C165" s="53">
        <v>814</v>
      </c>
      <c r="D165" s="61" t="s">
        <v>116</v>
      </c>
      <c r="E165" s="53" t="s">
        <v>295</v>
      </c>
      <c r="F165" s="68">
        <f t="shared" si="150"/>
        <v>0</v>
      </c>
      <c r="G165" s="70"/>
      <c r="H165" s="70"/>
      <c r="I165" s="70"/>
      <c r="J165" s="68">
        <f t="shared" si="182"/>
        <v>0</v>
      </c>
      <c r="K165" s="70"/>
      <c r="L165" s="70"/>
      <c r="M165" s="70"/>
      <c r="N165" s="68">
        <f t="shared" si="183"/>
        <v>0</v>
      </c>
      <c r="O165" s="70"/>
      <c r="P165" s="70"/>
      <c r="Q165" s="70"/>
      <c r="R165" s="68">
        <f t="shared" si="184"/>
        <v>18871.900000000001</v>
      </c>
      <c r="S165" s="70">
        <v>566.20000000000005</v>
      </c>
      <c r="T165" s="70">
        <v>18305.7</v>
      </c>
      <c r="U165" s="70"/>
      <c r="V165" s="78"/>
    </row>
    <row r="166" spans="1:103" ht="52.5" customHeight="1">
      <c r="A166" s="39"/>
      <c r="B166" s="30" t="s">
        <v>188</v>
      </c>
      <c r="C166" s="53">
        <v>844</v>
      </c>
      <c r="D166" s="61" t="s">
        <v>187</v>
      </c>
      <c r="E166" s="53" t="s">
        <v>189</v>
      </c>
      <c r="F166" s="68">
        <f t="shared" si="150"/>
        <v>0</v>
      </c>
      <c r="G166" s="70"/>
      <c r="H166" s="70"/>
      <c r="I166" s="70"/>
      <c r="J166" s="68">
        <f t="shared" si="182"/>
        <v>0</v>
      </c>
      <c r="K166" s="70"/>
      <c r="L166" s="70"/>
      <c r="M166" s="70"/>
      <c r="N166" s="68">
        <f t="shared" si="183"/>
        <v>67844.800000000003</v>
      </c>
      <c r="O166" s="70">
        <v>2035.3</v>
      </c>
      <c r="P166" s="70">
        <v>65809.5</v>
      </c>
      <c r="Q166" s="70"/>
      <c r="R166" s="68">
        <f t="shared" si="184"/>
        <v>133034.9</v>
      </c>
      <c r="S166" s="70">
        <v>3991</v>
      </c>
      <c r="T166" s="70">
        <v>129043.9</v>
      </c>
      <c r="U166" s="70"/>
      <c r="V166" s="78"/>
    </row>
    <row r="167" spans="1:103" ht="61.5" customHeight="1">
      <c r="A167" s="39"/>
      <c r="B167" s="30" t="s">
        <v>318</v>
      </c>
      <c r="C167" s="53">
        <v>814</v>
      </c>
      <c r="D167" s="61" t="s">
        <v>116</v>
      </c>
      <c r="E167" s="53" t="s">
        <v>186</v>
      </c>
      <c r="F167" s="68">
        <f t="shared" si="150"/>
        <v>30000</v>
      </c>
      <c r="G167" s="70"/>
      <c r="H167" s="70">
        <v>30000</v>
      </c>
      <c r="I167" s="70"/>
      <c r="J167" s="68">
        <f t="shared" si="182"/>
        <v>4786.3</v>
      </c>
      <c r="K167" s="70"/>
      <c r="L167" s="70">
        <v>4786.3</v>
      </c>
      <c r="M167" s="70"/>
      <c r="N167" s="68">
        <f t="shared" si="183"/>
        <v>0</v>
      </c>
      <c r="O167" s="70"/>
      <c r="P167" s="70"/>
      <c r="Q167" s="70"/>
      <c r="R167" s="68">
        <f t="shared" si="184"/>
        <v>0</v>
      </c>
      <c r="S167" s="70"/>
      <c r="T167" s="70"/>
      <c r="U167" s="70"/>
      <c r="V167" s="78">
        <f t="shared" si="154"/>
        <v>0.16</v>
      </c>
    </row>
    <row r="168" spans="1:103" ht="26.25" customHeight="1">
      <c r="A168" s="33" t="s">
        <v>117</v>
      </c>
      <c r="B168" s="24" t="s">
        <v>118</v>
      </c>
      <c r="C168" s="25" t="s">
        <v>12</v>
      </c>
      <c r="D168" s="25" t="s">
        <v>12</v>
      </c>
      <c r="E168" s="25" t="s">
        <v>12</v>
      </c>
      <c r="F168" s="68">
        <f t="shared" si="150"/>
        <v>1000</v>
      </c>
      <c r="G168" s="68">
        <f t="shared" ref="G168:H168" si="185">SUM(G170)</f>
        <v>0</v>
      </c>
      <c r="H168" s="68">
        <f t="shared" si="185"/>
        <v>1000</v>
      </c>
      <c r="I168" s="68">
        <f t="shared" ref="I168" si="186">SUM(I170)</f>
        <v>0</v>
      </c>
      <c r="J168" s="68">
        <f t="shared" si="182"/>
        <v>0</v>
      </c>
      <c r="K168" s="68">
        <f t="shared" ref="K168:M168" si="187">SUM(K170)</f>
        <v>0</v>
      </c>
      <c r="L168" s="68">
        <f t="shared" si="187"/>
        <v>0</v>
      </c>
      <c r="M168" s="68">
        <f t="shared" si="187"/>
        <v>0</v>
      </c>
      <c r="N168" s="68">
        <f t="shared" si="183"/>
        <v>5700</v>
      </c>
      <c r="O168" s="68">
        <f t="shared" ref="O168:T168" si="188">SUM(O170)</f>
        <v>0</v>
      </c>
      <c r="P168" s="68">
        <f t="shared" si="188"/>
        <v>5700</v>
      </c>
      <c r="Q168" s="68">
        <f t="shared" si="188"/>
        <v>0</v>
      </c>
      <c r="R168" s="68">
        <f t="shared" si="184"/>
        <v>0</v>
      </c>
      <c r="S168" s="68">
        <f t="shared" si="188"/>
        <v>0</v>
      </c>
      <c r="T168" s="68">
        <f t="shared" si="188"/>
        <v>0</v>
      </c>
      <c r="U168" s="68">
        <f t="shared" ref="U168" si="189">SUM(U170)</f>
        <v>0</v>
      </c>
      <c r="V168" s="72">
        <f t="shared" si="154"/>
        <v>0</v>
      </c>
    </row>
    <row r="169" spans="1:103" ht="18.75">
      <c r="A169" s="39"/>
      <c r="B169" s="28" t="s">
        <v>15</v>
      </c>
      <c r="C169" s="27"/>
      <c r="D169" s="29"/>
      <c r="E169" s="27"/>
      <c r="F169" s="68"/>
      <c r="G169" s="68"/>
      <c r="H169" s="68"/>
      <c r="I169" s="68"/>
      <c r="J169" s="68"/>
      <c r="K169" s="68"/>
      <c r="L169" s="68"/>
      <c r="M169" s="68"/>
      <c r="N169" s="68"/>
      <c r="O169" s="68"/>
      <c r="P169" s="68"/>
      <c r="Q169" s="68"/>
      <c r="R169" s="68"/>
      <c r="S169" s="68"/>
      <c r="T169" s="68"/>
      <c r="U169" s="68"/>
      <c r="V169" s="72"/>
    </row>
    <row r="170" spans="1:103" ht="33">
      <c r="A170" s="39"/>
      <c r="B170" s="30" t="s">
        <v>119</v>
      </c>
      <c r="C170" s="53">
        <v>814</v>
      </c>
      <c r="D170" s="61" t="s">
        <v>116</v>
      </c>
      <c r="E170" s="53" t="s">
        <v>192</v>
      </c>
      <c r="F170" s="68">
        <f t="shared" si="150"/>
        <v>1000</v>
      </c>
      <c r="G170" s="70"/>
      <c r="H170" s="70">
        <v>1000</v>
      </c>
      <c r="I170" s="70"/>
      <c r="J170" s="68">
        <f t="shared" ref="J170:J171" si="190">K170+L170+M170</f>
        <v>0</v>
      </c>
      <c r="K170" s="70"/>
      <c r="L170" s="70"/>
      <c r="M170" s="70"/>
      <c r="N170" s="68">
        <f t="shared" ref="N170:N171" si="191">O170+P170+Q170</f>
        <v>5700</v>
      </c>
      <c r="O170" s="70"/>
      <c r="P170" s="70">
        <v>5700</v>
      </c>
      <c r="Q170" s="70"/>
      <c r="R170" s="68">
        <f t="shared" ref="R170:R171" si="192">S170+T170+U170</f>
        <v>0</v>
      </c>
      <c r="S170" s="70"/>
      <c r="T170" s="70"/>
      <c r="U170" s="70"/>
      <c r="V170" s="78">
        <f t="shared" si="154"/>
        <v>0</v>
      </c>
    </row>
    <row r="171" spans="1:103" ht="18.75">
      <c r="A171" s="33" t="s">
        <v>265</v>
      </c>
      <c r="B171" s="24" t="s">
        <v>120</v>
      </c>
      <c r="C171" s="25" t="s">
        <v>12</v>
      </c>
      <c r="D171" s="25" t="s">
        <v>12</v>
      </c>
      <c r="E171" s="25" t="s">
        <v>12</v>
      </c>
      <c r="F171" s="68">
        <f t="shared" si="150"/>
        <v>15618.9</v>
      </c>
      <c r="G171" s="68">
        <f>SUM(G173:G175)</f>
        <v>14266.3</v>
      </c>
      <c r="H171" s="68">
        <f>SUM(H173:H175)</f>
        <v>1300</v>
      </c>
      <c r="I171" s="68">
        <f>SUM(I173:I175)</f>
        <v>52.6</v>
      </c>
      <c r="J171" s="68">
        <f t="shared" si="190"/>
        <v>0</v>
      </c>
      <c r="K171" s="68">
        <f>SUM(K173:K175)</f>
        <v>0</v>
      </c>
      <c r="L171" s="68">
        <f>SUM(L173:L175)</f>
        <v>0</v>
      </c>
      <c r="M171" s="68">
        <f>SUM(M173:M175)</f>
        <v>0</v>
      </c>
      <c r="N171" s="68">
        <f t="shared" si="191"/>
        <v>15494.3</v>
      </c>
      <c r="O171" s="68">
        <f>SUM(O173:O175)</f>
        <v>14194.3</v>
      </c>
      <c r="P171" s="68">
        <f>SUM(P173:P175)</f>
        <v>1300</v>
      </c>
      <c r="Q171" s="68">
        <f>SUM(Q173:Q175)</f>
        <v>0</v>
      </c>
      <c r="R171" s="68">
        <f t="shared" si="192"/>
        <v>15494.3</v>
      </c>
      <c r="S171" s="68">
        <f>SUM(S173:S175)</f>
        <v>14194.3</v>
      </c>
      <c r="T171" s="68">
        <f>SUM(T173:T175)</f>
        <v>1300</v>
      </c>
      <c r="U171" s="68">
        <f>SUM(U173:U175)</f>
        <v>0</v>
      </c>
      <c r="V171" s="72">
        <f t="shared" si="154"/>
        <v>0</v>
      </c>
    </row>
    <row r="172" spans="1:103" ht="18.75">
      <c r="A172" s="39"/>
      <c r="B172" s="28" t="s">
        <v>15</v>
      </c>
      <c r="C172" s="27"/>
      <c r="D172" s="29"/>
      <c r="E172" s="27"/>
      <c r="F172" s="68"/>
      <c r="G172" s="68"/>
      <c r="H172" s="68"/>
      <c r="I172" s="68"/>
      <c r="J172" s="68"/>
      <c r="K172" s="68"/>
      <c r="L172" s="68"/>
      <c r="M172" s="68"/>
      <c r="N172" s="68"/>
      <c r="O172" s="68"/>
      <c r="P172" s="68"/>
      <c r="Q172" s="68"/>
      <c r="R172" s="68"/>
      <c r="S172" s="68"/>
      <c r="T172" s="68"/>
      <c r="U172" s="68"/>
      <c r="V172" s="72"/>
    </row>
    <row r="173" spans="1:103" ht="33">
      <c r="A173" s="39"/>
      <c r="B173" s="30" t="s">
        <v>121</v>
      </c>
      <c r="C173" s="53">
        <v>814</v>
      </c>
      <c r="D173" s="61" t="s">
        <v>116</v>
      </c>
      <c r="E173" s="53" t="s">
        <v>221</v>
      </c>
      <c r="F173" s="68">
        <f t="shared" si="150"/>
        <v>13000</v>
      </c>
      <c r="G173" s="70">
        <v>13000</v>
      </c>
      <c r="H173" s="70"/>
      <c r="I173" s="70"/>
      <c r="J173" s="68">
        <f t="shared" ref="J173:J177" si="193">K173+L173+M173</f>
        <v>0</v>
      </c>
      <c r="K173" s="70"/>
      <c r="L173" s="70"/>
      <c r="M173" s="70"/>
      <c r="N173" s="68">
        <f t="shared" ref="N173:N177" si="194">O173+P173+Q173</f>
        <v>13000</v>
      </c>
      <c r="O173" s="70">
        <v>13000</v>
      </c>
      <c r="P173" s="70"/>
      <c r="Q173" s="70"/>
      <c r="R173" s="68">
        <f t="shared" ref="R173:R177" si="195">S173+T173+U173</f>
        <v>13000</v>
      </c>
      <c r="S173" s="70">
        <v>13000</v>
      </c>
      <c r="T173" s="70"/>
      <c r="U173" s="70"/>
      <c r="V173" s="78">
        <f t="shared" si="154"/>
        <v>0</v>
      </c>
    </row>
    <row r="174" spans="1:103" ht="55.5" customHeight="1">
      <c r="A174" s="39"/>
      <c r="B174" s="30" t="s">
        <v>298</v>
      </c>
      <c r="C174" s="53">
        <v>814</v>
      </c>
      <c r="D174" s="61" t="s">
        <v>116</v>
      </c>
      <c r="E174" s="53" t="s">
        <v>297</v>
      </c>
      <c r="F174" s="68">
        <f t="shared" si="150"/>
        <v>1566.3</v>
      </c>
      <c r="G174" s="70">
        <v>266.3</v>
      </c>
      <c r="H174" s="70">
        <v>1300</v>
      </c>
      <c r="I174" s="70"/>
      <c r="J174" s="68">
        <f t="shared" si="193"/>
        <v>0</v>
      </c>
      <c r="K174" s="70"/>
      <c r="L174" s="70"/>
      <c r="M174" s="70"/>
      <c r="N174" s="68">
        <f t="shared" si="194"/>
        <v>1494.3</v>
      </c>
      <c r="O174" s="70">
        <v>194.3</v>
      </c>
      <c r="P174" s="70">
        <v>1300</v>
      </c>
      <c r="Q174" s="70"/>
      <c r="R174" s="68">
        <f t="shared" si="195"/>
        <v>1494.3</v>
      </c>
      <c r="S174" s="70">
        <v>194.3</v>
      </c>
      <c r="T174" s="70">
        <v>1300</v>
      </c>
      <c r="U174" s="70"/>
      <c r="V174" s="78">
        <f t="shared" si="154"/>
        <v>0</v>
      </c>
    </row>
    <row r="175" spans="1:103" ht="73.5" customHeight="1">
      <c r="A175" s="39"/>
      <c r="B175" s="30" t="s">
        <v>223</v>
      </c>
      <c r="C175" s="53">
        <v>814</v>
      </c>
      <c r="D175" s="61" t="s">
        <v>116</v>
      </c>
      <c r="E175" s="53" t="s">
        <v>222</v>
      </c>
      <c r="F175" s="68">
        <f t="shared" si="150"/>
        <v>1052.5999999999999</v>
      </c>
      <c r="G175" s="70">
        <v>1000</v>
      </c>
      <c r="H175" s="70"/>
      <c r="I175" s="70">
        <v>52.6</v>
      </c>
      <c r="J175" s="68">
        <f t="shared" si="193"/>
        <v>0</v>
      </c>
      <c r="K175" s="70"/>
      <c r="L175" s="70"/>
      <c r="M175" s="70"/>
      <c r="N175" s="68">
        <f t="shared" si="194"/>
        <v>1000</v>
      </c>
      <c r="O175" s="70">
        <v>1000</v>
      </c>
      <c r="P175" s="70"/>
      <c r="Q175" s="70"/>
      <c r="R175" s="68">
        <f t="shared" si="195"/>
        <v>1000</v>
      </c>
      <c r="S175" s="70">
        <v>1000</v>
      </c>
      <c r="T175" s="70"/>
      <c r="U175" s="70"/>
      <c r="V175" s="78">
        <f t="shared" si="154"/>
        <v>0</v>
      </c>
    </row>
    <row r="176" spans="1:103" s="55" customFormat="1" ht="71.25" customHeight="1">
      <c r="A176" s="38" t="s">
        <v>122</v>
      </c>
      <c r="B176" s="22" t="s">
        <v>123</v>
      </c>
      <c r="C176" s="40" t="s">
        <v>12</v>
      </c>
      <c r="D176" s="40" t="s">
        <v>12</v>
      </c>
      <c r="E176" s="40" t="s">
        <v>12</v>
      </c>
      <c r="F176" s="73">
        <f>F177+F181+F192</f>
        <v>198909</v>
      </c>
      <c r="G176" s="73">
        <f>G177+G181+G192</f>
        <v>6957.1</v>
      </c>
      <c r="H176" s="73">
        <f>H177+H181+H192</f>
        <v>191951.9</v>
      </c>
      <c r="I176" s="73">
        <f>I177+I181+I192</f>
        <v>0</v>
      </c>
      <c r="J176" s="73">
        <f t="shared" si="193"/>
        <v>0</v>
      </c>
      <c r="K176" s="73">
        <f>K177+K181+K192</f>
        <v>0</v>
      </c>
      <c r="L176" s="73">
        <f>L177+L181+L192</f>
        <v>0</v>
      </c>
      <c r="M176" s="73">
        <f>M177+M181+M192</f>
        <v>0</v>
      </c>
      <c r="N176" s="73">
        <f t="shared" si="194"/>
        <v>188719.6</v>
      </c>
      <c r="O176" s="73">
        <f>O177+O181+O192</f>
        <v>6651.6</v>
      </c>
      <c r="P176" s="73">
        <f>P177+P181+P192</f>
        <v>182068</v>
      </c>
      <c r="Q176" s="73">
        <f>Q177+Q181+Q192</f>
        <v>0</v>
      </c>
      <c r="R176" s="73">
        <f t="shared" si="195"/>
        <v>456375.6</v>
      </c>
      <c r="S176" s="73">
        <f>S177+S181+S192</f>
        <v>14681.2</v>
      </c>
      <c r="T176" s="73">
        <f>T177+T181+T192</f>
        <v>441694.4</v>
      </c>
      <c r="U176" s="73">
        <f>U177+U181+U192</f>
        <v>0</v>
      </c>
      <c r="V176" s="74">
        <f t="shared" ref="V176:V204" si="196">J176/F176</f>
        <v>0</v>
      </c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</row>
    <row r="177" spans="1:22" ht="77.25" customHeight="1">
      <c r="A177" s="36" t="s">
        <v>124</v>
      </c>
      <c r="B177" s="15" t="s">
        <v>125</v>
      </c>
      <c r="C177" s="81" t="s">
        <v>12</v>
      </c>
      <c r="D177" s="81" t="s">
        <v>12</v>
      </c>
      <c r="E177" s="81" t="s">
        <v>12</v>
      </c>
      <c r="F177" s="67">
        <f t="shared" ref="F177:F204" si="197">G177+H177+I177</f>
        <v>51838.6</v>
      </c>
      <c r="G177" s="68">
        <f>SUM(G179:G180)</f>
        <v>1555.1</v>
      </c>
      <c r="H177" s="68">
        <f>SUM(H179:H180)</f>
        <v>50283.5</v>
      </c>
      <c r="I177" s="68">
        <f>SUM(I179:I180)</f>
        <v>0</v>
      </c>
      <c r="J177" s="67">
        <f t="shared" si="193"/>
        <v>0</v>
      </c>
      <c r="K177" s="68">
        <f>SUM(K179:K180)</f>
        <v>0</v>
      </c>
      <c r="L177" s="68">
        <f>SUM(L179:L180)</f>
        <v>0</v>
      </c>
      <c r="M177" s="68">
        <f>SUM(M179:M180)</f>
        <v>0</v>
      </c>
      <c r="N177" s="67">
        <f t="shared" si="194"/>
        <v>68390.7</v>
      </c>
      <c r="O177" s="68">
        <f>SUM(O179:O180)</f>
        <v>2051.6999999999998</v>
      </c>
      <c r="P177" s="68">
        <f>SUM(P179:P180)</f>
        <v>66339</v>
      </c>
      <c r="Q177" s="68">
        <f>SUM(Q179:Q180)</f>
        <v>0</v>
      </c>
      <c r="R177" s="67">
        <f t="shared" si="195"/>
        <v>85523.4</v>
      </c>
      <c r="S177" s="68">
        <f>SUM(S179:S180)</f>
        <v>2565.6</v>
      </c>
      <c r="T177" s="68">
        <f>SUM(T179:T180)</f>
        <v>82957.8</v>
      </c>
      <c r="U177" s="68">
        <f>SUM(U179:U180)</f>
        <v>0</v>
      </c>
      <c r="V177" s="69">
        <f t="shared" si="196"/>
        <v>0</v>
      </c>
    </row>
    <row r="178" spans="1:22" ht="18.75">
      <c r="A178" s="37"/>
      <c r="B178" s="18" t="s">
        <v>15</v>
      </c>
      <c r="C178" s="7"/>
      <c r="D178" s="7"/>
      <c r="E178" s="7"/>
      <c r="F178" s="68"/>
      <c r="G178" s="68"/>
      <c r="H178" s="68"/>
      <c r="I178" s="68"/>
      <c r="J178" s="68"/>
      <c r="K178" s="68"/>
      <c r="L178" s="68"/>
      <c r="M178" s="68"/>
      <c r="N178" s="67"/>
      <c r="O178" s="68"/>
      <c r="P178" s="68"/>
      <c r="Q178" s="68"/>
      <c r="R178" s="67"/>
      <c r="S178" s="68"/>
      <c r="T178" s="68"/>
      <c r="U178" s="68"/>
      <c r="V178" s="72"/>
    </row>
    <row r="179" spans="1:22" ht="72" customHeight="1">
      <c r="A179" s="41"/>
      <c r="B179" s="32" t="s">
        <v>141</v>
      </c>
      <c r="C179" s="62">
        <v>840</v>
      </c>
      <c r="D179" s="63" t="s">
        <v>74</v>
      </c>
      <c r="E179" s="62" t="s">
        <v>140</v>
      </c>
      <c r="F179" s="79">
        <f t="shared" si="197"/>
        <v>44057.7</v>
      </c>
      <c r="G179" s="76">
        <f>1321.7+0.03</f>
        <v>1321.7</v>
      </c>
      <c r="H179" s="76">
        <v>42736</v>
      </c>
      <c r="I179" s="76"/>
      <c r="J179" s="79">
        <f t="shared" ref="J179:J181" si="198">K179+L179+M179</f>
        <v>0</v>
      </c>
      <c r="K179" s="76"/>
      <c r="L179" s="76"/>
      <c r="M179" s="76"/>
      <c r="N179" s="79">
        <f t="shared" ref="N179:N181" si="199">O179+P179+Q179</f>
        <v>59252.5</v>
      </c>
      <c r="O179" s="76">
        <v>1777.6</v>
      </c>
      <c r="P179" s="76">
        <v>57474.9</v>
      </c>
      <c r="Q179" s="76"/>
      <c r="R179" s="79">
        <f t="shared" ref="R179:R181" si="200">S179+T179+U179</f>
        <v>71408.2</v>
      </c>
      <c r="S179" s="76">
        <v>2142.1999999999998</v>
      </c>
      <c r="T179" s="76">
        <v>69266</v>
      </c>
      <c r="U179" s="76"/>
      <c r="V179" s="80">
        <f t="shared" si="196"/>
        <v>0</v>
      </c>
    </row>
    <row r="180" spans="1:22" ht="108.75" customHeight="1">
      <c r="A180" s="41"/>
      <c r="B180" s="32" t="s">
        <v>273</v>
      </c>
      <c r="C180" s="62">
        <v>840</v>
      </c>
      <c r="D180" s="63" t="s">
        <v>74</v>
      </c>
      <c r="E180" s="62" t="s">
        <v>274</v>
      </c>
      <c r="F180" s="79">
        <f t="shared" si="197"/>
        <v>7780.9</v>
      </c>
      <c r="G180" s="76">
        <f>233.4+0.03</f>
        <v>233.4</v>
      </c>
      <c r="H180" s="76">
        <v>7547.5</v>
      </c>
      <c r="I180" s="76"/>
      <c r="J180" s="79">
        <f t="shared" si="198"/>
        <v>0</v>
      </c>
      <c r="K180" s="76"/>
      <c r="L180" s="76"/>
      <c r="M180" s="76"/>
      <c r="N180" s="79">
        <f t="shared" si="199"/>
        <v>9138.2000000000007</v>
      </c>
      <c r="O180" s="76">
        <v>274.10000000000002</v>
      </c>
      <c r="P180" s="76">
        <v>8864.1</v>
      </c>
      <c r="Q180" s="76"/>
      <c r="R180" s="79">
        <f t="shared" si="200"/>
        <v>14115.2</v>
      </c>
      <c r="S180" s="76">
        <v>423.4</v>
      </c>
      <c r="T180" s="76">
        <v>13691.8</v>
      </c>
      <c r="U180" s="76"/>
      <c r="V180" s="80">
        <f t="shared" si="196"/>
        <v>0</v>
      </c>
    </row>
    <row r="181" spans="1:22" ht="38.25" customHeight="1">
      <c r="A181" s="36" t="s">
        <v>126</v>
      </c>
      <c r="B181" s="15" t="s">
        <v>127</v>
      </c>
      <c r="C181" s="6" t="s">
        <v>12</v>
      </c>
      <c r="D181" s="6" t="s">
        <v>12</v>
      </c>
      <c r="E181" s="6" t="s">
        <v>12</v>
      </c>
      <c r="F181" s="67">
        <f t="shared" si="197"/>
        <v>143805.1</v>
      </c>
      <c r="G181" s="68">
        <f>SUM(G183:G191)</f>
        <v>5304</v>
      </c>
      <c r="H181" s="68">
        <f>SUM(H183:H191)</f>
        <v>138501.1</v>
      </c>
      <c r="I181" s="68">
        <f>SUM(I183:I191)</f>
        <v>0</v>
      </c>
      <c r="J181" s="67">
        <f t="shared" si="198"/>
        <v>0</v>
      </c>
      <c r="K181" s="68">
        <f>SUM(K183:K191)</f>
        <v>0</v>
      </c>
      <c r="L181" s="68">
        <f>SUM(L183:L191)</f>
        <v>0</v>
      </c>
      <c r="M181" s="68">
        <f>SUM(M183:M191)</f>
        <v>0</v>
      </c>
      <c r="N181" s="67">
        <f t="shared" si="199"/>
        <v>115245.4</v>
      </c>
      <c r="O181" s="68">
        <f>SUM(O183:O191)</f>
        <v>4447.3999999999996</v>
      </c>
      <c r="P181" s="68">
        <f>SUM(P183:P191)</f>
        <v>110798</v>
      </c>
      <c r="Q181" s="68">
        <f>SUM(Q183:Q191)</f>
        <v>0</v>
      </c>
      <c r="R181" s="67">
        <f t="shared" si="200"/>
        <v>364678.9</v>
      </c>
      <c r="S181" s="68">
        <f>SUM(S183:S191)</f>
        <v>11930.4</v>
      </c>
      <c r="T181" s="68">
        <f>SUM(T183:T191)</f>
        <v>352748.5</v>
      </c>
      <c r="U181" s="68">
        <f>SUM(U183:U191)</f>
        <v>0</v>
      </c>
      <c r="V181" s="69">
        <f t="shared" si="196"/>
        <v>0</v>
      </c>
    </row>
    <row r="182" spans="1:22" ht="18.75">
      <c r="A182" s="37"/>
      <c r="B182" s="18" t="s">
        <v>15</v>
      </c>
      <c r="C182" s="7"/>
      <c r="D182" s="7"/>
      <c r="E182" s="7"/>
      <c r="F182" s="68"/>
      <c r="G182" s="68"/>
      <c r="H182" s="68"/>
      <c r="I182" s="68"/>
      <c r="J182" s="68"/>
      <c r="K182" s="68"/>
      <c r="L182" s="68"/>
      <c r="M182" s="68"/>
      <c r="N182" s="67"/>
      <c r="O182" s="68"/>
      <c r="P182" s="68"/>
      <c r="Q182" s="68"/>
      <c r="R182" s="67"/>
      <c r="S182" s="68"/>
      <c r="T182" s="68"/>
      <c r="U182" s="68"/>
      <c r="V182" s="72"/>
    </row>
    <row r="183" spans="1:22" ht="55.5" customHeight="1">
      <c r="A183" s="39"/>
      <c r="B183" s="30" t="s">
        <v>282</v>
      </c>
      <c r="C183" s="62">
        <v>817</v>
      </c>
      <c r="D183" s="63" t="s">
        <v>129</v>
      </c>
      <c r="E183" s="53" t="s">
        <v>283</v>
      </c>
      <c r="F183" s="68">
        <f t="shared" si="197"/>
        <v>38818</v>
      </c>
      <c r="G183" s="70">
        <v>1164.5</v>
      </c>
      <c r="H183" s="70">
        <v>37653.5</v>
      </c>
      <c r="I183" s="70"/>
      <c r="J183" s="68">
        <f t="shared" ref="J183:J191" si="201">K183+L183+M183</f>
        <v>0</v>
      </c>
      <c r="K183" s="70"/>
      <c r="L183" s="70"/>
      <c r="M183" s="70"/>
      <c r="N183" s="68">
        <f t="shared" ref="N183:N191" si="202">O183+P183+Q183</f>
        <v>22593.200000000001</v>
      </c>
      <c r="O183" s="70">
        <v>677.8</v>
      </c>
      <c r="P183" s="70">
        <v>21915.4</v>
      </c>
      <c r="Q183" s="70"/>
      <c r="R183" s="68">
        <f t="shared" ref="R183:R191" si="203">S183+T183+U183</f>
        <v>28741.3</v>
      </c>
      <c r="S183" s="70">
        <v>862.2</v>
      </c>
      <c r="T183" s="70">
        <v>27879.05</v>
      </c>
      <c r="U183" s="70"/>
      <c r="V183" s="78">
        <f t="shared" si="196"/>
        <v>0</v>
      </c>
    </row>
    <row r="184" spans="1:22" ht="57" customHeight="1">
      <c r="A184" s="39"/>
      <c r="B184" s="30" t="s">
        <v>130</v>
      </c>
      <c r="C184" s="62">
        <v>817</v>
      </c>
      <c r="D184" s="63" t="s">
        <v>129</v>
      </c>
      <c r="E184" s="53" t="s">
        <v>284</v>
      </c>
      <c r="F184" s="68">
        <f t="shared" si="197"/>
        <v>3092.8</v>
      </c>
      <c r="G184" s="70">
        <v>92.8</v>
      </c>
      <c r="H184" s="70">
        <v>3000</v>
      </c>
      <c r="I184" s="70"/>
      <c r="J184" s="68">
        <f t="shared" si="201"/>
        <v>0</v>
      </c>
      <c r="K184" s="70"/>
      <c r="L184" s="70"/>
      <c r="M184" s="70"/>
      <c r="N184" s="68">
        <f t="shared" si="202"/>
        <v>3092.8</v>
      </c>
      <c r="O184" s="70">
        <v>92.8</v>
      </c>
      <c r="P184" s="70">
        <v>3000</v>
      </c>
      <c r="Q184" s="70"/>
      <c r="R184" s="68">
        <f t="shared" si="203"/>
        <v>3092.8</v>
      </c>
      <c r="S184" s="70">
        <v>92.8</v>
      </c>
      <c r="T184" s="70">
        <v>3000</v>
      </c>
      <c r="U184" s="70"/>
      <c r="V184" s="78">
        <f t="shared" si="196"/>
        <v>0</v>
      </c>
    </row>
    <row r="185" spans="1:22" ht="59.25" customHeight="1">
      <c r="A185" s="39"/>
      <c r="B185" s="30" t="s">
        <v>147</v>
      </c>
      <c r="C185" s="62">
        <v>817</v>
      </c>
      <c r="D185" s="63" t="s">
        <v>129</v>
      </c>
      <c r="E185" s="53" t="s">
        <v>285</v>
      </c>
      <c r="F185" s="68">
        <f t="shared" si="197"/>
        <v>10214.299999999999</v>
      </c>
      <c r="G185" s="70">
        <v>306.39999999999998</v>
      </c>
      <c r="H185" s="70">
        <v>9907.85</v>
      </c>
      <c r="I185" s="70"/>
      <c r="J185" s="68">
        <f t="shared" si="201"/>
        <v>0</v>
      </c>
      <c r="K185" s="70"/>
      <c r="L185" s="70"/>
      <c r="M185" s="70"/>
      <c r="N185" s="68">
        <f t="shared" si="202"/>
        <v>6878.7</v>
      </c>
      <c r="O185" s="70">
        <v>206.36</v>
      </c>
      <c r="P185" s="70">
        <v>6672.3</v>
      </c>
      <c r="Q185" s="70"/>
      <c r="R185" s="68">
        <f t="shared" si="203"/>
        <v>13796.3</v>
      </c>
      <c r="S185" s="70">
        <v>413.9</v>
      </c>
      <c r="T185" s="70">
        <v>13382.35</v>
      </c>
      <c r="U185" s="70"/>
      <c r="V185" s="78">
        <f t="shared" si="196"/>
        <v>0</v>
      </c>
    </row>
    <row r="186" spans="1:22" ht="67.5" customHeight="1">
      <c r="A186" s="39"/>
      <c r="B186" s="30" t="s">
        <v>130</v>
      </c>
      <c r="C186" s="62">
        <v>817</v>
      </c>
      <c r="D186" s="63" t="s">
        <v>129</v>
      </c>
      <c r="E186" s="53" t="s">
        <v>286</v>
      </c>
      <c r="F186" s="68">
        <f t="shared" si="197"/>
        <v>1020.5</v>
      </c>
      <c r="G186" s="70">
        <v>1020.5</v>
      </c>
      <c r="H186" s="70">
        <v>0</v>
      </c>
      <c r="I186" s="70"/>
      <c r="J186" s="68">
        <f t="shared" si="201"/>
        <v>0</v>
      </c>
      <c r="K186" s="70"/>
      <c r="L186" s="70"/>
      <c r="M186" s="70"/>
      <c r="N186" s="68">
        <f t="shared" si="202"/>
        <v>1020.6</v>
      </c>
      <c r="O186" s="70">
        <v>1020.6</v>
      </c>
      <c r="P186" s="70">
        <v>0</v>
      </c>
      <c r="Q186" s="70"/>
      <c r="R186" s="68">
        <f t="shared" si="203"/>
        <v>1020.6</v>
      </c>
      <c r="S186" s="70">
        <v>1020.6</v>
      </c>
      <c r="T186" s="70">
        <v>0</v>
      </c>
      <c r="U186" s="70"/>
      <c r="V186" s="78">
        <f t="shared" si="196"/>
        <v>0</v>
      </c>
    </row>
    <row r="187" spans="1:22" ht="71.25" customHeight="1">
      <c r="A187" s="39"/>
      <c r="B187" s="30" t="s">
        <v>275</v>
      </c>
      <c r="C187" s="62">
        <v>840</v>
      </c>
      <c r="D187" s="63" t="s">
        <v>74</v>
      </c>
      <c r="E187" s="53" t="s">
        <v>276</v>
      </c>
      <c r="F187" s="68">
        <f t="shared" si="197"/>
        <v>30089.200000000001</v>
      </c>
      <c r="G187" s="70">
        <f>902.7+0.02</f>
        <v>902.7</v>
      </c>
      <c r="H187" s="70">
        <v>29186.5</v>
      </c>
      <c r="I187" s="70"/>
      <c r="J187" s="68">
        <f t="shared" si="201"/>
        <v>0</v>
      </c>
      <c r="K187" s="70"/>
      <c r="L187" s="70"/>
      <c r="M187" s="70"/>
      <c r="N187" s="68">
        <f t="shared" si="202"/>
        <v>13927</v>
      </c>
      <c r="O187" s="70">
        <v>417.8</v>
      </c>
      <c r="P187" s="70">
        <v>13509.2</v>
      </c>
      <c r="Q187" s="70"/>
      <c r="R187" s="68">
        <f t="shared" si="203"/>
        <v>30375.7</v>
      </c>
      <c r="S187" s="70">
        <v>911.3</v>
      </c>
      <c r="T187" s="70">
        <v>29464.400000000001</v>
      </c>
      <c r="U187" s="70"/>
      <c r="V187" s="78">
        <f t="shared" si="196"/>
        <v>0</v>
      </c>
    </row>
    <row r="188" spans="1:22" ht="69.75" customHeight="1">
      <c r="A188" s="39"/>
      <c r="B188" s="30" t="s">
        <v>277</v>
      </c>
      <c r="C188" s="62">
        <v>840</v>
      </c>
      <c r="D188" s="63" t="s">
        <v>74</v>
      </c>
      <c r="E188" s="53" t="s">
        <v>278</v>
      </c>
      <c r="F188" s="68">
        <f t="shared" si="197"/>
        <v>39105</v>
      </c>
      <c r="G188" s="70">
        <v>1173.0999999999999</v>
      </c>
      <c r="H188" s="70">
        <v>37931.9</v>
      </c>
      <c r="I188" s="70"/>
      <c r="J188" s="68">
        <f t="shared" si="201"/>
        <v>0</v>
      </c>
      <c r="K188" s="70"/>
      <c r="L188" s="70"/>
      <c r="M188" s="70"/>
      <c r="N188" s="68">
        <f t="shared" si="202"/>
        <v>46267.8</v>
      </c>
      <c r="O188" s="70">
        <v>1388</v>
      </c>
      <c r="P188" s="70">
        <v>44879.8</v>
      </c>
      <c r="Q188" s="70"/>
      <c r="R188" s="68">
        <f t="shared" si="203"/>
        <v>85774.6</v>
      </c>
      <c r="S188" s="70">
        <v>2573.1999999999998</v>
      </c>
      <c r="T188" s="70">
        <v>83201.399999999994</v>
      </c>
      <c r="U188" s="70"/>
      <c r="V188" s="78">
        <f t="shared" si="196"/>
        <v>0</v>
      </c>
    </row>
    <row r="189" spans="1:22" ht="68.25" customHeight="1">
      <c r="A189" s="39"/>
      <c r="B189" s="30" t="s">
        <v>279</v>
      </c>
      <c r="C189" s="62">
        <v>840</v>
      </c>
      <c r="D189" s="63" t="s">
        <v>74</v>
      </c>
      <c r="E189" s="53" t="s">
        <v>280</v>
      </c>
      <c r="F189" s="68">
        <f t="shared" si="197"/>
        <v>0</v>
      </c>
      <c r="G189" s="70"/>
      <c r="H189" s="70"/>
      <c r="I189" s="70"/>
      <c r="J189" s="68">
        <f t="shared" si="201"/>
        <v>0</v>
      </c>
      <c r="K189" s="70"/>
      <c r="L189" s="70"/>
      <c r="M189" s="70"/>
      <c r="N189" s="68">
        <f t="shared" si="202"/>
        <v>0</v>
      </c>
      <c r="O189" s="70"/>
      <c r="P189" s="70"/>
      <c r="Q189" s="70"/>
      <c r="R189" s="68">
        <f t="shared" si="203"/>
        <v>180412.4</v>
      </c>
      <c r="S189" s="70">
        <v>5412.4</v>
      </c>
      <c r="T189" s="70">
        <v>175000</v>
      </c>
      <c r="U189" s="70"/>
      <c r="V189" s="78"/>
    </row>
    <row r="190" spans="1:22" ht="92.25" customHeight="1">
      <c r="A190" s="39"/>
      <c r="B190" s="30" t="s">
        <v>143</v>
      </c>
      <c r="C190" s="53">
        <v>840</v>
      </c>
      <c r="D190" s="61" t="s">
        <v>74</v>
      </c>
      <c r="E190" s="53" t="s">
        <v>142</v>
      </c>
      <c r="F190" s="68">
        <f t="shared" si="197"/>
        <v>3608.3</v>
      </c>
      <c r="G190" s="70">
        <v>108.3</v>
      </c>
      <c r="H190" s="70">
        <v>3500</v>
      </c>
      <c r="I190" s="70"/>
      <c r="J190" s="68">
        <f t="shared" si="201"/>
        <v>0</v>
      </c>
      <c r="K190" s="70"/>
      <c r="L190" s="70"/>
      <c r="M190" s="70"/>
      <c r="N190" s="68">
        <f t="shared" si="202"/>
        <v>0</v>
      </c>
      <c r="O190" s="70"/>
      <c r="P190" s="70"/>
      <c r="Q190" s="70"/>
      <c r="R190" s="68">
        <f t="shared" si="203"/>
        <v>0</v>
      </c>
      <c r="S190" s="70"/>
      <c r="T190" s="70"/>
      <c r="U190" s="70"/>
      <c r="V190" s="78">
        <f t="shared" si="196"/>
        <v>0</v>
      </c>
    </row>
    <row r="191" spans="1:22" ht="69.75" customHeight="1">
      <c r="A191" s="39"/>
      <c r="B191" s="30" t="s">
        <v>313</v>
      </c>
      <c r="C191" s="53">
        <v>840</v>
      </c>
      <c r="D191" s="61" t="s">
        <v>74</v>
      </c>
      <c r="E191" s="53" t="s">
        <v>243</v>
      </c>
      <c r="F191" s="68">
        <f t="shared" si="197"/>
        <v>17857</v>
      </c>
      <c r="G191" s="70">
        <f>535.7+0.01</f>
        <v>535.70000000000005</v>
      </c>
      <c r="H191" s="70">
        <v>17321.3</v>
      </c>
      <c r="I191" s="70"/>
      <c r="J191" s="68">
        <f t="shared" si="201"/>
        <v>0</v>
      </c>
      <c r="K191" s="70"/>
      <c r="L191" s="70"/>
      <c r="M191" s="70"/>
      <c r="N191" s="68">
        <f t="shared" si="202"/>
        <v>21465.3</v>
      </c>
      <c r="O191" s="70">
        <v>644</v>
      </c>
      <c r="P191" s="70">
        <v>20821.3</v>
      </c>
      <c r="Q191" s="70"/>
      <c r="R191" s="68">
        <f t="shared" si="203"/>
        <v>21465.3</v>
      </c>
      <c r="S191" s="70">
        <v>644</v>
      </c>
      <c r="T191" s="70">
        <v>20821.3</v>
      </c>
      <c r="U191" s="70"/>
      <c r="V191" s="78">
        <f t="shared" si="196"/>
        <v>0</v>
      </c>
    </row>
    <row r="192" spans="1:22" ht="62.25" customHeight="1">
      <c r="A192" s="36" t="s">
        <v>128</v>
      </c>
      <c r="B192" s="15" t="s">
        <v>271</v>
      </c>
      <c r="C192" s="6" t="s">
        <v>12</v>
      </c>
      <c r="D192" s="43" t="s">
        <v>12</v>
      </c>
      <c r="E192" s="6" t="s">
        <v>12</v>
      </c>
      <c r="F192" s="67">
        <f t="shared" si="197"/>
        <v>3265.3</v>
      </c>
      <c r="G192" s="68">
        <f t="shared" ref="G192:T192" si="204">G194</f>
        <v>98</v>
      </c>
      <c r="H192" s="68">
        <f t="shared" si="204"/>
        <v>3167.3</v>
      </c>
      <c r="I192" s="68">
        <f t="shared" ref="I192" si="205">I194</f>
        <v>0</v>
      </c>
      <c r="J192" s="67">
        <f t="shared" ref="J192" si="206">K192+L192+M192</f>
        <v>0</v>
      </c>
      <c r="K192" s="68">
        <f t="shared" ref="K192:M192" si="207">K194</f>
        <v>0</v>
      </c>
      <c r="L192" s="68">
        <f t="shared" si="207"/>
        <v>0</v>
      </c>
      <c r="M192" s="68">
        <f t="shared" si="207"/>
        <v>0</v>
      </c>
      <c r="N192" s="67">
        <f t="shared" ref="N192" si="208">O192+P192+Q192</f>
        <v>5083.5</v>
      </c>
      <c r="O192" s="68">
        <f t="shared" si="204"/>
        <v>152.5</v>
      </c>
      <c r="P192" s="68">
        <f t="shared" si="204"/>
        <v>4931</v>
      </c>
      <c r="Q192" s="68">
        <f t="shared" si="204"/>
        <v>0</v>
      </c>
      <c r="R192" s="67">
        <f t="shared" ref="R192" si="209">S192+T192+U192</f>
        <v>6173.3</v>
      </c>
      <c r="S192" s="68">
        <f t="shared" si="204"/>
        <v>185.2</v>
      </c>
      <c r="T192" s="68">
        <f t="shared" si="204"/>
        <v>5988.1</v>
      </c>
      <c r="U192" s="68">
        <f t="shared" ref="U192" si="210">U194</f>
        <v>0</v>
      </c>
      <c r="V192" s="69">
        <f t="shared" si="196"/>
        <v>0</v>
      </c>
    </row>
    <row r="193" spans="1:103" ht="18.75">
      <c r="A193" s="39"/>
      <c r="B193" s="30" t="s">
        <v>15</v>
      </c>
      <c r="C193" s="27"/>
      <c r="D193" s="29"/>
      <c r="E193" s="27"/>
      <c r="F193" s="68"/>
      <c r="G193" s="70"/>
      <c r="H193" s="70"/>
      <c r="I193" s="70"/>
      <c r="J193" s="68"/>
      <c r="K193" s="70"/>
      <c r="L193" s="70"/>
      <c r="M193" s="70"/>
      <c r="N193" s="68"/>
      <c r="O193" s="70"/>
      <c r="P193" s="70"/>
      <c r="Q193" s="70"/>
      <c r="R193" s="68"/>
      <c r="S193" s="70"/>
      <c r="T193" s="70"/>
      <c r="U193" s="70"/>
      <c r="V193" s="78"/>
    </row>
    <row r="194" spans="1:103" ht="77.25" customHeight="1">
      <c r="A194" s="39"/>
      <c r="B194" s="30" t="s">
        <v>272</v>
      </c>
      <c r="C194" s="53">
        <v>840</v>
      </c>
      <c r="D194" s="61" t="s">
        <v>74</v>
      </c>
      <c r="E194" s="53" t="s">
        <v>270</v>
      </c>
      <c r="F194" s="68">
        <f t="shared" si="197"/>
        <v>3265.3</v>
      </c>
      <c r="G194" s="70">
        <f>98-0.04</f>
        <v>98</v>
      </c>
      <c r="H194" s="70">
        <v>3167.3</v>
      </c>
      <c r="I194" s="70"/>
      <c r="J194" s="68">
        <f t="shared" ref="J194:J196" si="211">K194+L194+M194</f>
        <v>0</v>
      </c>
      <c r="K194" s="70"/>
      <c r="L194" s="70"/>
      <c r="M194" s="70"/>
      <c r="N194" s="68">
        <f t="shared" ref="N194:N196" si="212">O194+P194+Q194</f>
        <v>5083.5</v>
      </c>
      <c r="O194" s="70">
        <v>152.5</v>
      </c>
      <c r="P194" s="70">
        <v>4931</v>
      </c>
      <c r="Q194" s="70"/>
      <c r="R194" s="68">
        <f t="shared" ref="R194:R196" si="213">S194+T194+U194</f>
        <v>6173.3</v>
      </c>
      <c r="S194" s="70">
        <v>185.2</v>
      </c>
      <c r="T194" s="70">
        <v>5988.1</v>
      </c>
      <c r="U194" s="70"/>
      <c r="V194" s="78">
        <f t="shared" si="196"/>
        <v>0</v>
      </c>
    </row>
    <row r="195" spans="1:103" s="55" customFormat="1" ht="40.5" customHeight="1">
      <c r="A195" s="38" t="s">
        <v>131</v>
      </c>
      <c r="B195" s="22" t="s">
        <v>132</v>
      </c>
      <c r="C195" s="1" t="s">
        <v>12</v>
      </c>
      <c r="D195" s="1" t="s">
        <v>12</v>
      </c>
      <c r="E195" s="1" t="s">
        <v>12</v>
      </c>
      <c r="F195" s="73">
        <f t="shared" si="197"/>
        <v>16009.7</v>
      </c>
      <c r="G195" s="73">
        <f>G196</f>
        <v>4000</v>
      </c>
      <c r="H195" s="73">
        <f>H196</f>
        <v>12009.7</v>
      </c>
      <c r="I195" s="73">
        <f>I196</f>
        <v>0</v>
      </c>
      <c r="J195" s="73">
        <f t="shared" si="211"/>
        <v>12429.1</v>
      </c>
      <c r="K195" s="73">
        <f>K196</f>
        <v>1500</v>
      </c>
      <c r="L195" s="73">
        <f>L196</f>
        <v>10929.1</v>
      </c>
      <c r="M195" s="73">
        <f>M196</f>
        <v>0</v>
      </c>
      <c r="N195" s="73">
        <f t="shared" si="212"/>
        <v>1500</v>
      </c>
      <c r="O195" s="73">
        <f>O196</f>
        <v>1500</v>
      </c>
      <c r="P195" s="73">
        <f>P196</f>
        <v>0</v>
      </c>
      <c r="Q195" s="73">
        <f>Q196</f>
        <v>0</v>
      </c>
      <c r="R195" s="73">
        <f t="shared" si="213"/>
        <v>1500</v>
      </c>
      <c r="S195" s="73">
        <f>S196</f>
        <v>1500</v>
      </c>
      <c r="T195" s="73">
        <f>T196</f>
        <v>0</v>
      </c>
      <c r="U195" s="73">
        <f>U196</f>
        <v>0</v>
      </c>
      <c r="V195" s="74">
        <f t="shared" si="196"/>
        <v>0.77600000000000002</v>
      </c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</row>
    <row r="196" spans="1:103" ht="55.5" customHeight="1">
      <c r="A196" s="36" t="s">
        <v>133</v>
      </c>
      <c r="B196" s="15" t="s">
        <v>134</v>
      </c>
      <c r="C196" s="6" t="s">
        <v>12</v>
      </c>
      <c r="D196" s="6" t="s">
        <v>12</v>
      </c>
      <c r="E196" s="6" t="s">
        <v>12</v>
      </c>
      <c r="F196" s="68">
        <f t="shared" si="197"/>
        <v>16009.7</v>
      </c>
      <c r="G196" s="68">
        <f>SUM(G198:G199)</f>
        <v>4000</v>
      </c>
      <c r="H196" s="68">
        <f>SUM(H198:H199)</f>
        <v>12009.7</v>
      </c>
      <c r="I196" s="68">
        <f>SUM(I198:I199)</f>
        <v>0</v>
      </c>
      <c r="J196" s="68">
        <f t="shared" si="211"/>
        <v>12429.1</v>
      </c>
      <c r="K196" s="68">
        <f>SUM(K198:K199)</f>
        <v>1500</v>
      </c>
      <c r="L196" s="68">
        <f>SUM(L198:L199)</f>
        <v>10929.1</v>
      </c>
      <c r="M196" s="68">
        <f>SUM(M198:M199)</f>
        <v>0</v>
      </c>
      <c r="N196" s="67">
        <f t="shared" si="212"/>
        <v>1500</v>
      </c>
      <c r="O196" s="68">
        <f>SUM(O198:O199)</f>
        <v>1500</v>
      </c>
      <c r="P196" s="68">
        <f>SUM(P198:P199)</f>
        <v>0</v>
      </c>
      <c r="Q196" s="68">
        <f>SUM(Q198:Q199)</f>
        <v>0</v>
      </c>
      <c r="R196" s="67">
        <f t="shared" si="213"/>
        <v>1500</v>
      </c>
      <c r="S196" s="68">
        <f>SUM(S198:S199)</f>
        <v>1500</v>
      </c>
      <c r="T196" s="68">
        <f>SUM(T198:T199)</f>
        <v>0</v>
      </c>
      <c r="U196" s="68">
        <f>SUM(U198:U199)</f>
        <v>0</v>
      </c>
      <c r="V196" s="72">
        <f t="shared" si="196"/>
        <v>0.77600000000000002</v>
      </c>
    </row>
    <row r="197" spans="1:103" ht="18.75">
      <c r="A197" s="39"/>
      <c r="B197" s="28" t="s">
        <v>15</v>
      </c>
      <c r="C197" s="27"/>
      <c r="D197" s="27"/>
      <c r="E197" s="27"/>
      <c r="F197" s="68"/>
      <c r="G197" s="68"/>
      <c r="H197" s="68"/>
      <c r="I197" s="68"/>
      <c r="J197" s="68"/>
      <c r="K197" s="68"/>
      <c r="L197" s="68"/>
      <c r="M197" s="68"/>
      <c r="N197" s="68"/>
      <c r="O197" s="68"/>
      <c r="P197" s="68"/>
      <c r="Q197" s="68"/>
      <c r="R197" s="68"/>
      <c r="S197" s="68"/>
      <c r="T197" s="68"/>
      <c r="U197" s="68"/>
      <c r="V197" s="72"/>
    </row>
    <row r="198" spans="1:103" ht="66">
      <c r="A198" s="39"/>
      <c r="B198" s="30" t="s">
        <v>144</v>
      </c>
      <c r="C198" s="53">
        <v>840</v>
      </c>
      <c r="D198" s="61" t="s">
        <v>74</v>
      </c>
      <c r="E198" s="53" t="s">
        <v>145</v>
      </c>
      <c r="F198" s="68">
        <f t="shared" si="197"/>
        <v>13509.7</v>
      </c>
      <c r="G198" s="70">
        <v>1500</v>
      </c>
      <c r="H198" s="70">
        <v>12009.7</v>
      </c>
      <c r="I198" s="70"/>
      <c r="J198" s="68">
        <f t="shared" ref="J198:J199" si="214">K198+L198+M198</f>
        <v>12429.1</v>
      </c>
      <c r="K198" s="70">
        <v>1500</v>
      </c>
      <c r="L198" s="70">
        <v>10929.1</v>
      </c>
      <c r="M198" s="70"/>
      <c r="N198" s="68">
        <f t="shared" ref="N198:N199" si="215">O198+P198+Q198</f>
        <v>1500</v>
      </c>
      <c r="O198" s="70">
        <v>1500</v>
      </c>
      <c r="P198" s="70"/>
      <c r="Q198" s="70"/>
      <c r="R198" s="68">
        <f t="shared" ref="R198:R199" si="216">S198+T198+U198</f>
        <v>1500</v>
      </c>
      <c r="S198" s="70">
        <v>1500</v>
      </c>
      <c r="T198" s="70"/>
      <c r="U198" s="70"/>
      <c r="V198" s="78">
        <f t="shared" si="196"/>
        <v>0.92</v>
      </c>
    </row>
    <row r="199" spans="1:103" ht="42" customHeight="1">
      <c r="A199" s="39"/>
      <c r="B199" s="30" t="s">
        <v>232</v>
      </c>
      <c r="C199" s="53">
        <v>816</v>
      </c>
      <c r="D199" s="61" t="s">
        <v>53</v>
      </c>
      <c r="E199" s="53" t="s">
        <v>233</v>
      </c>
      <c r="F199" s="68">
        <f t="shared" si="197"/>
        <v>2500</v>
      </c>
      <c r="G199" s="70">
        <v>2500</v>
      </c>
      <c r="H199" s="70"/>
      <c r="I199" s="70"/>
      <c r="J199" s="68">
        <f t="shared" si="214"/>
        <v>0</v>
      </c>
      <c r="K199" s="70"/>
      <c r="L199" s="70"/>
      <c r="M199" s="70"/>
      <c r="N199" s="68">
        <f t="shared" si="215"/>
        <v>0</v>
      </c>
      <c r="O199" s="70"/>
      <c r="P199" s="70"/>
      <c r="Q199" s="70"/>
      <c r="R199" s="68">
        <f t="shared" si="216"/>
        <v>0</v>
      </c>
      <c r="S199" s="70"/>
      <c r="T199" s="70"/>
      <c r="U199" s="70"/>
      <c r="V199" s="78">
        <f t="shared" si="196"/>
        <v>0</v>
      </c>
    </row>
    <row r="200" spans="1:103" s="55" customFormat="1" ht="42.75" customHeight="1">
      <c r="A200" s="22">
        <v>11</v>
      </c>
      <c r="B200" s="22" t="s">
        <v>264</v>
      </c>
      <c r="C200" s="1" t="s">
        <v>12</v>
      </c>
      <c r="D200" s="1" t="s">
        <v>12</v>
      </c>
      <c r="E200" s="23" t="s">
        <v>12</v>
      </c>
      <c r="F200" s="73">
        <f t="shared" si="197"/>
        <v>40523.699999999997</v>
      </c>
      <c r="G200" s="73">
        <f>G201</f>
        <v>1215.7</v>
      </c>
      <c r="H200" s="73">
        <f>H201</f>
        <v>39308</v>
      </c>
      <c r="I200" s="73">
        <f>I201</f>
        <v>0</v>
      </c>
      <c r="J200" s="73">
        <f t="shared" ref="J200:J201" si="217">K200+L200+M200</f>
        <v>0</v>
      </c>
      <c r="K200" s="73">
        <f>K201</f>
        <v>0</v>
      </c>
      <c r="L200" s="73">
        <f>L201</f>
        <v>0</v>
      </c>
      <c r="M200" s="73">
        <f>M201</f>
        <v>0</v>
      </c>
      <c r="N200" s="73">
        <f t="shared" ref="N200:N201" si="218">O200+P200+Q200</f>
        <v>36758.400000000001</v>
      </c>
      <c r="O200" s="73">
        <f>O201</f>
        <v>2602.8000000000002</v>
      </c>
      <c r="P200" s="73">
        <f>P201</f>
        <v>34155.599999999999</v>
      </c>
      <c r="Q200" s="73">
        <f>Q201</f>
        <v>0</v>
      </c>
      <c r="R200" s="73">
        <f t="shared" ref="R200:R201" si="219">S200+T200+U200</f>
        <v>32179</v>
      </c>
      <c r="S200" s="73">
        <f>S201</f>
        <v>965.4</v>
      </c>
      <c r="T200" s="73">
        <f>T201</f>
        <v>31213.599999999999</v>
      </c>
      <c r="U200" s="73">
        <f>U201</f>
        <v>0</v>
      </c>
      <c r="V200" s="74">
        <f t="shared" si="196"/>
        <v>0</v>
      </c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</row>
    <row r="201" spans="1:103" s="42" customFormat="1" ht="39" customHeight="1">
      <c r="A201" s="33" t="s">
        <v>148</v>
      </c>
      <c r="B201" s="24" t="s">
        <v>149</v>
      </c>
      <c r="C201" s="25" t="s">
        <v>12</v>
      </c>
      <c r="D201" s="25" t="s">
        <v>12</v>
      </c>
      <c r="E201" s="25" t="s">
        <v>12</v>
      </c>
      <c r="F201" s="68">
        <f t="shared" si="197"/>
        <v>40523.699999999997</v>
      </c>
      <c r="G201" s="68">
        <f t="shared" ref="G201:H201" si="220">SUM(G203:G204)</f>
        <v>1215.7</v>
      </c>
      <c r="H201" s="68">
        <f t="shared" si="220"/>
        <v>39308</v>
      </c>
      <c r="I201" s="68">
        <f t="shared" ref="I201" si="221">SUM(I203:I204)</f>
        <v>0</v>
      </c>
      <c r="J201" s="68">
        <f t="shared" si="217"/>
        <v>0</v>
      </c>
      <c r="K201" s="68">
        <f t="shared" ref="K201:M201" si="222">SUM(K203:K204)</f>
        <v>0</v>
      </c>
      <c r="L201" s="68">
        <f t="shared" si="222"/>
        <v>0</v>
      </c>
      <c r="M201" s="68">
        <f t="shared" si="222"/>
        <v>0</v>
      </c>
      <c r="N201" s="68">
        <f t="shared" si="218"/>
        <v>36758.400000000001</v>
      </c>
      <c r="O201" s="68">
        <f t="shared" ref="O201:T201" si="223">SUM(O203:O204)</f>
        <v>2602.8000000000002</v>
      </c>
      <c r="P201" s="68">
        <f t="shared" si="223"/>
        <v>34155.599999999999</v>
      </c>
      <c r="Q201" s="68">
        <f t="shared" si="223"/>
        <v>0</v>
      </c>
      <c r="R201" s="68">
        <f t="shared" si="219"/>
        <v>32179</v>
      </c>
      <c r="S201" s="68">
        <f t="shared" si="223"/>
        <v>965.4</v>
      </c>
      <c r="T201" s="68">
        <f t="shared" si="223"/>
        <v>31213.599999999999</v>
      </c>
      <c r="U201" s="68">
        <f t="shared" ref="U201" si="224">SUM(U203:U204)</f>
        <v>0</v>
      </c>
      <c r="V201" s="72">
        <f t="shared" si="196"/>
        <v>0</v>
      </c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</row>
    <row r="202" spans="1:103" ht="18.75">
      <c r="A202" s="37"/>
      <c r="B202" s="18" t="s">
        <v>15</v>
      </c>
      <c r="C202" s="7"/>
      <c r="D202" s="7"/>
      <c r="E202" s="7"/>
      <c r="F202" s="68"/>
      <c r="G202" s="68"/>
      <c r="H202" s="68"/>
      <c r="I202" s="68"/>
      <c r="J202" s="68"/>
      <c r="K202" s="68"/>
      <c r="L202" s="68"/>
      <c r="M202" s="68"/>
      <c r="N202" s="67"/>
      <c r="O202" s="68"/>
      <c r="P202" s="68"/>
      <c r="Q202" s="68"/>
      <c r="R202" s="67"/>
      <c r="S202" s="68"/>
      <c r="T202" s="68"/>
      <c r="U202" s="68"/>
      <c r="V202" s="72"/>
    </row>
    <row r="203" spans="1:103" ht="49.5">
      <c r="A203" s="48"/>
      <c r="B203" s="17" t="s">
        <v>150</v>
      </c>
      <c r="C203" s="64">
        <v>818</v>
      </c>
      <c r="D203" s="65" t="s">
        <v>151</v>
      </c>
      <c r="E203" s="64" t="s">
        <v>152</v>
      </c>
      <c r="F203" s="68">
        <f t="shared" si="197"/>
        <v>0</v>
      </c>
      <c r="G203" s="70"/>
      <c r="H203" s="70"/>
      <c r="I203" s="70"/>
      <c r="J203" s="68">
        <f t="shared" ref="J203:J204" si="225">K203+L203+M203</f>
        <v>0</v>
      </c>
      <c r="K203" s="70"/>
      <c r="L203" s="70"/>
      <c r="M203" s="70"/>
      <c r="N203" s="67">
        <f t="shared" ref="N203:N204" si="226">O203+P203+Q203</f>
        <v>1546.4</v>
      </c>
      <c r="O203" s="70">
        <v>1546.4</v>
      </c>
      <c r="P203" s="70"/>
      <c r="Q203" s="70"/>
      <c r="R203" s="67">
        <f t="shared" ref="R203:R204" si="227">S203+T203+U203</f>
        <v>0</v>
      </c>
      <c r="S203" s="70"/>
      <c r="T203" s="70"/>
      <c r="U203" s="70"/>
      <c r="V203" s="78"/>
    </row>
    <row r="204" spans="1:103" ht="54.75" customHeight="1">
      <c r="A204" s="48"/>
      <c r="B204" s="17" t="s">
        <v>314</v>
      </c>
      <c r="C204" s="64">
        <v>817</v>
      </c>
      <c r="D204" s="65" t="s">
        <v>129</v>
      </c>
      <c r="E204" s="64" t="s">
        <v>255</v>
      </c>
      <c r="F204" s="68">
        <f t="shared" si="197"/>
        <v>40523.699999999997</v>
      </c>
      <c r="G204" s="70">
        <f>1215.7+0.01</f>
        <v>1215.7</v>
      </c>
      <c r="H204" s="70">
        <v>39308</v>
      </c>
      <c r="I204" s="70"/>
      <c r="J204" s="68">
        <f t="shared" si="225"/>
        <v>0</v>
      </c>
      <c r="K204" s="70"/>
      <c r="L204" s="70"/>
      <c r="M204" s="70"/>
      <c r="N204" s="67">
        <f t="shared" si="226"/>
        <v>35212</v>
      </c>
      <c r="O204" s="70">
        <f>1056.4-0.04</f>
        <v>1056.4000000000001</v>
      </c>
      <c r="P204" s="70">
        <v>34155.599999999999</v>
      </c>
      <c r="Q204" s="70"/>
      <c r="R204" s="67">
        <f t="shared" si="227"/>
        <v>32179</v>
      </c>
      <c r="S204" s="70">
        <f>965.4-0.03</f>
        <v>965.4</v>
      </c>
      <c r="T204" s="70">
        <v>31213.599999999999</v>
      </c>
      <c r="U204" s="70"/>
      <c r="V204" s="78">
        <f t="shared" si="196"/>
        <v>0</v>
      </c>
    </row>
    <row r="205" spans="1:103">
      <c r="A205" s="11"/>
      <c r="B205" s="20" t="s">
        <v>326</v>
      </c>
      <c r="C205" s="11"/>
      <c r="D205" s="11"/>
      <c r="E205" s="11"/>
    </row>
    <row r="206" spans="1:103">
      <c r="A206" s="11"/>
      <c r="B206" s="20" t="s">
        <v>261</v>
      </c>
      <c r="C206" s="11"/>
      <c r="D206" s="11"/>
      <c r="E206" s="11"/>
    </row>
    <row r="213" ht="22.15" customHeight="1"/>
    <row r="214" ht="22.15" customHeight="1"/>
    <row r="215" ht="22.15" customHeight="1"/>
    <row r="216" ht="22.15" customHeight="1"/>
    <row r="217" ht="21" customHeight="1"/>
    <row r="218" ht="21" customHeight="1"/>
    <row r="219" ht="21" customHeight="1"/>
    <row r="220" ht="21" customHeight="1"/>
    <row r="221" ht="17.45" customHeight="1"/>
    <row r="222" ht="16.149999999999999" customHeight="1"/>
    <row r="223" ht="17.45" customHeight="1"/>
    <row r="224" ht="20.45" customHeight="1"/>
    <row r="225" ht="16.149999999999999" customHeight="1"/>
    <row r="226" ht="17.45" customHeight="1"/>
    <row r="227" ht="17.45" customHeight="1"/>
  </sheetData>
  <autoFilter ref="E12:E206"/>
  <customSheetViews>
    <customSheetView guid="{FE09AB06-1ECE-4486-BCA1-E9D85830708B}" scale="60" showPageBreaks="1" printArea="1" showAutoFilter="1">
      <pane xSplit="1" ySplit="7" topLeftCell="B158" activePane="bottomRight" state="frozen"/>
      <selection pane="bottomRight" activeCell="K163" sqref="K163"/>
      <rowBreaks count="2" manualBreakCount="2">
        <brk id="94" max="37" man="1"/>
        <brk id="107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1"/>
      <autoFilter ref="E12:E206"/>
    </customSheetView>
    <customSheetView guid="{8DBC8541-9868-41A7-9A9F-A27FC80CBA37}" scale="78" showPageBreaks="1" printArea="1">
      <pane xSplit="1" ySplit="7" topLeftCell="B8" activePane="bottomRight" state="frozen"/>
      <selection pane="bottomRight" activeCell="K12" sqref="K12"/>
      <rowBreaks count="2" manualBreakCount="2">
        <brk id="90" max="37" man="1"/>
        <brk id="103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2"/>
    </customSheetView>
  </customSheetViews>
  <mergeCells count="15">
    <mergeCell ref="A1:V2"/>
    <mergeCell ref="A4:A6"/>
    <mergeCell ref="B4:B6"/>
    <mergeCell ref="C4:C6"/>
    <mergeCell ref="E4:E6"/>
    <mergeCell ref="D4:D6"/>
    <mergeCell ref="F5:I5"/>
    <mergeCell ref="F4:I4"/>
    <mergeCell ref="J4:M4"/>
    <mergeCell ref="J5:M5"/>
    <mergeCell ref="N4:Q4"/>
    <mergeCell ref="N5:Q5"/>
    <mergeCell ref="R4:U4"/>
    <mergeCell ref="R5:U5"/>
    <mergeCell ref="V4:V6"/>
  </mergeCells>
  <printOptions horizontalCentered="1"/>
  <pageMargins left="0" right="0" top="0" bottom="0" header="0.31496062992125984" footer="0.31496062992125984"/>
  <pageSetup paperSize="9" scale="37" orientation="landscape" horizontalDpi="180" verticalDpi="180" r:id="rId3"/>
  <rowBreaks count="2" manualBreakCount="2">
    <brk id="94" max="37" man="1"/>
    <brk id="107" max="37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H32"/>
  <sheetViews>
    <sheetView topLeftCell="A4" workbookViewId="0">
      <selection activeCell="A44" sqref="A44:A45"/>
    </sheetView>
  </sheetViews>
  <sheetFormatPr defaultRowHeight="15" outlineLevelRow="1"/>
  <cols>
    <col min="2" max="2" width="31.85546875" customWidth="1"/>
    <col min="5" max="5" width="17.42578125" customWidth="1"/>
    <col min="6" max="6" width="13.5703125" customWidth="1"/>
    <col min="7" max="7" width="12.85546875" customWidth="1"/>
    <col min="8" max="8" width="15.5703125" customWidth="1"/>
  </cols>
  <sheetData>
    <row r="1" spans="1:8">
      <c r="A1" s="102"/>
      <c r="B1" s="102"/>
      <c r="C1" s="102"/>
      <c r="D1" s="102"/>
      <c r="E1" s="102"/>
      <c r="F1" s="102"/>
    </row>
    <row r="6" spans="1:8">
      <c r="A6" s="102"/>
      <c r="B6" s="102"/>
      <c r="C6" s="102"/>
      <c r="D6" s="102"/>
      <c r="E6" s="102"/>
      <c r="F6" s="102"/>
      <c r="G6" s="102"/>
      <c r="H6" s="102"/>
    </row>
    <row r="7" spans="1:8">
      <c r="A7" s="102"/>
      <c r="B7" s="102"/>
      <c r="C7" s="102"/>
      <c r="D7" s="102"/>
      <c r="E7" s="102"/>
      <c r="F7" s="102"/>
      <c r="G7" s="102"/>
    </row>
    <row r="8" spans="1:8">
      <c r="A8" s="102"/>
      <c r="B8" s="102"/>
      <c r="C8" s="102"/>
      <c r="D8" s="102"/>
      <c r="E8" s="102"/>
      <c r="F8" s="102"/>
      <c r="G8" s="102"/>
    </row>
    <row r="9" spans="1:8">
      <c r="A9" s="102"/>
      <c r="B9" s="102"/>
      <c r="C9" s="102"/>
      <c r="D9" s="102"/>
      <c r="E9" s="102"/>
      <c r="F9" s="102"/>
      <c r="G9" s="102"/>
    </row>
    <row r="10" spans="1:8">
      <c r="A10" s="102"/>
      <c r="B10" s="102"/>
      <c r="C10" s="102"/>
      <c r="D10" s="102"/>
      <c r="E10" s="102"/>
      <c r="F10" s="102"/>
      <c r="G10" s="102"/>
    </row>
    <row r="14" spans="1:8" ht="15.75" customHeight="1" outlineLevel="1"/>
    <row r="15" spans="1:8" ht="12.75" customHeight="1" outlineLevel="1"/>
    <row r="16" spans="1:8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</sheetData>
  <customSheetViews>
    <customSheetView guid="{FE09AB06-1ECE-4486-BCA1-E9D85830708B}" state="hidden" topLeftCell="A4">
      <selection activeCell="A44" sqref="A44:A45"/>
      <pageMargins left="0.7" right="0.7" top="0.75" bottom="0.75" header="0.3" footer="0.3"/>
    </customSheetView>
    <customSheetView guid="{8DBC8541-9868-41A7-9A9F-A27FC80CBA37}">
      <selection activeCell="A14" sqref="A14"/>
      <pageMargins left="0.7" right="0.7" top="0.75" bottom="0.75" header="0.3" footer="0.3"/>
    </customSheetView>
  </customSheetViews>
  <mergeCells count="6">
    <mergeCell ref="A10:G10"/>
    <mergeCell ref="A1:F1"/>
    <mergeCell ref="A6:H6"/>
    <mergeCell ref="A7:G7"/>
    <mergeCell ref="A8:G8"/>
    <mergeCell ref="A9:G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</vt:lpstr>
      <vt:lpstr>Лист2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nma</cp:lastModifiedBy>
  <cp:lastPrinted>2021-04-02T04:53:41Z</cp:lastPrinted>
  <dcterms:created xsi:type="dcterms:W3CDTF">2006-09-28T05:33:49Z</dcterms:created>
  <dcterms:modified xsi:type="dcterms:W3CDTF">2021-05-19T03:38:12Z</dcterms:modified>
</cp:coreProperties>
</file>