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90" windowHeight="7320"/>
  </bookViews>
  <sheets>
    <sheet name="Лист1" sheetId="1" r:id="rId1"/>
  </sheets>
  <definedNames>
    <definedName name="_xlnm._FilterDatabase" localSheetId="0" hidden="1">Лист1!$A$4:$N$235</definedName>
    <definedName name="_xlnm.Print_Titles" localSheetId="0">Лист1!$4:$7</definedName>
    <definedName name="_xlnm.Print_Area" localSheetId="0">Лист1!$A$1:$N$235</definedName>
  </definedNames>
  <calcPr calcId="125725" fullPrecision="0"/>
</workbook>
</file>

<file path=xl/calcChain.xml><?xml version="1.0" encoding="utf-8"?>
<calcChain xmlns="http://schemas.openxmlformats.org/spreadsheetml/2006/main">
  <c r="G223" i="1"/>
  <c r="H223"/>
  <c r="I223"/>
  <c r="J223"/>
  <c r="K223"/>
  <c r="L223"/>
  <c r="M223"/>
  <c r="F223"/>
  <c r="G227"/>
  <c r="H227"/>
  <c r="I227"/>
  <c r="K227"/>
  <c r="L227"/>
  <c r="M227"/>
  <c r="J229"/>
  <c r="J227" s="1"/>
  <c r="F229"/>
  <c r="N229" s="1"/>
  <c r="F227" l="1"/>
  <c r="N227" s="1"/>
  <c r="M137" l="1"/>
  <c r="I137"/>
  <c r="K63" l="1"/>
  <c r="H68"/>
  <c r="L166"/>
  <c r="L153"/>
  <c r="L171"/>
  <c r="L170"/>
  <c r="L139"/>
  <c r="L135"/>
  <c r="L16"/>
  <c r="L17"/>
  <c r="L41"/>
  <c r="L183"/>
  <c r="L33"/>
  <c r="H33"/>
  <c r="L35"/>
  <c r="L86"/>
  <c r="L70"/>
  <c r="L68"/>
  <c r="L59"/>
  <c r="L56"/>
  <c r="L63"/>
  <c r="L62"/>
  <c r="L53"/>
  <c r="L52"/>
  <c r="L47"/>
  <c r="L211"/>
  <c r="L37"/>
  <c r="L221"/>
  <c r="L222"/>
  <c r="G157"/>
  <c r="K166"/>
  <c r="K130"/>
  <c r="K153"/>
  <c r="K154"/>
  <c r="K170"/>
  <c r="K144"/>
  <c r="K143"/>
  <c r="K141"/>
  <c r="K135"/>
  <c r="K14"/>
  <c r="K193"/>
  <c r="K192"/>
  <c r="K33"/>
  <c r="G33"/>
  <c r="K35"/>
  <c r="G35"/>
  <c r="K95"/>
  <c r="K103"/>
  <c r="K78"/>
  <c r="K87"/>
  <c r="G87"/>
  <c r="K86"/>
  <c r="K70"/>
  <c r="G69"/>
  <c r="K68"/>
  <c r="G68"/>
  <c r="K56"/>
  <c r="K64"/>
  <c r="K53"/>
  <c r="K211"/>
  <c r="K37"/>
  <c r="K221"/>
  <c r="K222"/>
  <c r="G222"/>
  <c r="K125"/>
  <c r="K175"/>
  <c r="K174"/>
  <c r="K150"/>
  <c r="G135"/>
  <c r="K16"/>
  <c r="G42"/>
  <c r="K43"/>
  <c r="G43"/>
  <c r="K194"/>
  <c r="G192"/>
  <c r="K184"/>
  <c r="K183"/>
  <c r="K77"/>
  <c r="K89"/>
  <c r="G70" l="1"/>
  <c r="G22"/>
  <c r="K109"/>
  <c r="K213"/>
  <c r="G213"/>
  <c r="G212"/>
  <c r="G211"/>
  <c r="K38"/>
  <c r="G221"/>
  <c r="K218"/>
  <c r="K118"/>
  <c r="H41"/>
  <c r="L43"/>
  <c r="L184"/>
  <c r="L77"/>
  <c r="H77"/>
  <c r="H87"/>
  <c r="H69"/>
  <c r="L21"/>
  <c r="L109"/>
  <c r="H212"/>
  <c r="H211"/>
  <c r="L202"/>
  <c r="G14"/>
  <c r="K121"/>
  <c r="G179"/>
  <c r="K140"/>
  <c r="G17"/>
  <c r="J36"/>
  <c r="F36"/>
  <c r="K97"/>
  <c r="K96"/>
  <c r="G80"/>
  <c r="G78"/>
  <c r="K82"/>
  <c r="G79"/>
  <c r="G77"/>
  <c r="K90"/>
  <c r="K69"/>
  <c r="K73"/>
  <c r="K22"/>
  <c r="K25"/>
  <c r="K48"/>
  <c r="K226"/>
  <c r="H135"/>
  <c r="H79"/>
  <c r="L226"/>
  <c r="N36" l="1"/>
  <c r="L149"/>
  <c r="L26"/>
  <c r="L210"/>
  <c r="K128"/>
  <c r="K163"/>
  <c r="K186"/>
  <c r="K187"/>
  <c r="K100"/>
  <c r="K91"/>
  <c r="K114"/>
  <c r="K113"/>
  <c r="K26"/>
  <c r="K210"/>
  <c r="H17"/>
  <c r="H80"/>
  <c r="H210"/>
  <c r="H217"/>
  <c r="G127"/>
  <c r="G129"/>
  <c r="G125"/>
  <c r="G170"/>
  <c r="G34"/>
  <c r="G32"/>
  <c r="G31"/>
  <c r="G73"/>
  <c r="G210"/>
  <c r="G118" l="1"/>
  <c r="G37"/>
  <c r="H43"/>
  <c r="H38"/>
  <c r="H37"/>
  <c r="L217"/>
  <c r="G140"/>
  <c r="J141"/>
  <c r="F141"/>
  <c r="N141" l="1"/>
  <c r="K232"/>
  <c r="G191"/>
  <c r="J32"/>
  <c r="F32"/>
  <c r="J31"/>
  <c r="F31"/>
  <c r="G59"/>
  <c r="L160"/>
  <c r="N32" l="1"/>
  <c r="N31"/>
  <c r="K176"/>
  <c r="L168"/>
  <c r="L69"/>
  <c r="K79"/>
  <c r="K49"/>
  <c r="L150"/>
  <c r="L79"/>
  <c r="L49"/>
  <c r="G16"/>
  <c r="H59"/>
  <c r="J158"/>
  <c r="F158"/>
  <c r="J142"/>
  <c r="F142"/>
  <c r="G15"/>
  <c r="G190"/>
  <c r="G48"/>
  <c r="L148"/>
  <c r="H16"/>
  <c r="L92"/>
  <c r="H221"/>
  <c r="H222"/>
  <c r="H168"/>
  <c r="I168"/>
  <c r="M168"/>
  <c r="J171"/>
  <c r="F171"/>
  <c r="N158" l="1"/>
  <c r="N142"/>
  <c r="N171"/>
  <c r="K168"/>
  <c r="G56"/>
  <c r="H56"/>
  <c r="G13"/>
  <c r="K157" l="1"/>
  <c r="G131"/>
  <c r="K80"/>
  <c r="L80" l="1"/>
  <c r="J18" l="1"/>
  <c r="F18"/>
  <c r="F43"/>
  <c r="N18" l="1"/>
  <c r="J43"/>
  <c r="N43" s="1"/>
  <c r="G64"/>
  <c r="J157"/>
  <c r="F157"/>
  <c r="N157" l="1"/>
  <c r="K81"/>
  <c r="G89"/>
  <c r="K24" l="1"/>
  <c r="G160"/>
  <c r="G63"/>
  <c r="G60" s="1"/>
  <c r="J13"/>
  <c r="F13"/>
  <c r="K98"/>
  <c r="J64"/>
  <c r="F64"/>
  <c r="I60"/>
  <c r="M60"/>
  <c r="N64" l="1"/>
  <c r="N13"/>
  <c r="K60"/>
  <c r="J115"/>
  <c r="F115"/>
  <c r="J114"/>
  <c r="F114"/>
  <c r="J113"/>
  <c r="F113"/>
  <c r="G224"/>
  <c r="H224"/>
  <c r="I224"/>
  <c r="K224"/>
  <c r="L224"/>
  <c r="M224"/>
  <c r="J226"/>
  <c r="F226"/>
  <c r="J159"/>
  <c r="F159"/>
  <c r="I196"/>
  <c r="K196"/>
  <c r="L196"/>
  <c r="M196"/>
  <c r="J160"/>
  <c r="F160"/>
  <c r="H155"/>
  <c r="I155"/>
  <c r="K155"/>
  <c r="L155"/>
  <c r="M155"/>
  <c r="G144"/>
  <c r="G137" s="1"/>
  <c r="J143"/>
  <c r="F143"/>
  <c r="J140"/>
  <c r="F140"/>
  <c r="J15"/>
  <c r="F15"/>
  <c r="J14"/>
  <c r="F14"/>
  <c r="J34"/>
  <c r="F34"/>
  <c r="N34" l="1"/>
  <c r="N15"/>
  <c r="N143"/>
  <c r="N160"/>
  <c r="N226"/>
  <c r="N113"/>
  <c r="N115"/>
  <c r="N14"/>
  <c r="N140"/>
  <c r="N159"/>
  <c r="N114"/>
  <c r="J71"/>
  <c r="F71"/>
  <c r="J74"/>
  <c r="F74"/>
  <c r="G204"/>
  <c r="G203"/>
  <c r="J199"/>
  <c r="F199"/>
  <c r="J198"/>
  <c r="F198"/>
  <c r="H196"/>
  <c r="G172"/>
  <c r="H172"/>
  <c r="I172"/>
  <c r="L172"/>
  <c r="M172"/>
  <c r="N199" l="1"/>
  <c r="N71"/>
  <c r="N198"/>
  <c r="N74"/>
  <c r="G196"/>
  <c r="L60"/>
  <c r="J63"/>
  <c r="K172" l="1"/>
  <c r="H139"/>
  <c r="J81"/>
  <c r="F81"/>
  <c r="J73"/>
  <c r="F73"/>
  <c r="G109"/>
  <c r="N81" l="1"/>
  <c r="N73"/>
  <c r="I10"/>
  <c r="M10"/>
  <c r="G103"/>
  <c r="G88"/>
  <c r="G218"/>
  <c r="G155"/>
  <c r="G163"/>
  <c r="G96"/>
  <c r="G92"/>
  <c r="G93" l="1"/>
  <c r="J179"/>
  <c r="F179"/>
  <c r="G168"/>
  <c r="K10"/>
  <c r="J91"/>
  <c r="F91"/>
  <c r="J85"/>
  <c r="F85"/>
  <c r="I83"/>
  <c r="K83"/>
  <c r="L83"/>
  <c r="M83"/>
  <c r="G21"/>
  <c r="K23"/>
  <c r="G177"/>
  <c r="H177"/>
  <c r="H167" s="1"/>
  <c r="I177"/>
  <c r="I167" s="1"/>
  <c r="K177"/>
  <c r="L177"/>
  <c r="L167" s="1"/>
  <c r="M177"/>
  <c r="M167" s="1"/>
  <c r="H150"/>
  <c r="H149"/>
  <c r="J12"/>
  <c r="F12"/>
  <c r="H35"/>
  <c r="H21"/>
  <c r="H63"/>
  <c r="L10"/>
  <c r="N179" l="1"/>
  <c r="N91"/>
  <c r="N85"/>
  <c r="N12"/>
  <c r="K167"/>
  <c r="G10"/>
  <c r="H60"/>
  <c r="F63"/>
  <c r="N63" s="1"/>
  <c r="G19"/>
  <c r="H10"/>
  <c r="L208"/>
  <c r="K208"/>
  <c r="J213"/>
  <c r="F213"/>
  <c r="H208"/>
  <c r="I208"/>
  <c r="M208"/>
  <c r="N213" l="1"/>
  <c r="G167"/>
  <c r="G208"/>
  <c r="G184"/>
  <c r="G183"/>
  <c r="G217"/>
  <c r="G202"/>
  <c r="I200"/>
  <c r="K200"/>
  <c r="L200"/>
  <c r="M200"/>
  <c r="J204"/>
  <c r="F204"/>
  <c r="H200"/>
  <c r="J175"/>
  <c r="J176"/>
  <c r="F175"/>
  <c r="F176"/>
  <c r="N175" l="1"/>
  <c r="N204"/>
  <c r="N176"/>
  <c r="G200"/>
  <c r="H83"/>
  <c r="J186"/>
  <c r="F186"/>
  <c r="F139"/>
  <c r="G54"/>
  <c r="H54"/>
  <c r="I54"/>
  <c r="K54"/>
  <c r="L54"/>
  <c r="M54"/>
  <c r="J56"/>
  <c r="F56"/>
  <c r="G146"/>
  <c r="H146"/>
  <c r="I146"/>
  <c r="K146"/>
  <c r="L146"/>
  <c r="M146"/>
  <c r="G164"/>
  <c r="H164"/>
  <c r="I164"/>
  <c r="K164"/>
  <c r="L164"/>
  <c r="M164"/>
  <c r="J166"/>
  <c r="F166"/>
  <c r="G161"/>
  <c r="H161"/>
  <c r="I161"/>
  <c r="K161"/>
  <c r="L161"/>
  <c r="M161"/>
  <c r="J163"/>
  <c r="F163"/>
  <c r="F155"/>
  <c r="G151"/>
  <c r="H151"/>
  <c r="I151"/>
  <c r="K151"/>
  <c r="L151"/>
  <c r="M151"/>
  <c r="J153"/>
  <c r="J154"/>
  <c r="F153"/>
  <c r="F154"/>
  <c r="J148"/>
  <c r="J149"/>
  <c r="J150"/>
  <c r="F148"/>
  <c r="F149"/>
  <c r="F150"/>
  <c r="H230"/>
  <c r="H219"/>
  <c r="H215"/>
  <c r="H205"/>
  <c r="H188"/>
  <c r="H181"/>
  <c r="H133"/>
  <c r="H123"/>
  <c r="H119"/>
  <c r="H116"/>
  <c r="H111"/>
  <c r="H107"/>
  <c r="H104"/>
  <c r="H101"/>
  <c r="H93"/>
  <c r="H75"/>
  <c r="H66"/>
  <c r="H57"/>
  <c r="H50"/>
  <c r="H45"/>
  <c r="H39"/>
  <c r="H29"/>
  <c r="H19"/>
  <c r="G230"/>
  <c r="I230"/>
  <c r="K230"/>
  <c r="L230"/>
  <c r="M230"/>
  <c r="J232"/>
  <c r="J233"/>
  <c r="F232"/>
  <c r="F233"/>
  <c r="F224"/>
  <c r="G219"/>
  <c r="I219"/>
  <c r="K219"/>
  <c r="L219"/>
  <c r="M219"/>
  <c r="J221"/>
  <c r="J222"/>
  <c r="F222"/>
  <c r="F221"/>
  <c r="G215"/>
  <c r="I215"/>
  <c r="K215"/>
  <c r="L215"/>
  <c r="M215"/>
  <c r="J217"/>
  <c r="J218"/>
  <c r="F217"/>
  <c r="F218"/>
  <c r="J210"/>
  <c r="J211"/>
  <c r="J212"/>
  <c r="F210"/>
  <c r="F211"/>
  <c r="F212"/>
  <c r="G205"/>
  <c r="I205"/>
  <c r="K205"/>
  <c r="L205"/>
  <c r="M205"/>
  <c r="J207"/>
  <c r="F207"/>
  <c r="J202"/>
  <c r="J203"/>
  <c r="F202"/>
  <c r="F203"/>
  <c r="G188"/>
  <c r="I188"/>
  <c r="K188"/>
  <c r="L188"/>
  <c r="M188"/>
  <c r="J190"/>
  <c r="J191"/>
  <c r="J192"/>
  <c r="J193"/>
  <c r="J194"/>
  <c r="F190"/>
  <c r="F191"/>
  <c r="F192"/>
  <c r="F193"/>
  <c r="F194"/>
  <c r="J189"/>
  <c r="G181"/>
  <c r="G180" s="1"/>
  <c r="I181"/>
  <c r="I180" s="1"/>
  <c r="K181"/>
  <c r="K180" s="1"/>
  <c r="L181"/>
  <c r="L180" s="1"/>
  <c r="M181"/>
  <c r="M180" s="1"/>
  <c r="J183"/>
  <c r="J184"/>
  <c r="J185"/>
  <c r="J187"/>
  <c r="F183"/>
  <c r="F184"/>
  <c r="F185"/>
  <c r="F187"/>
  <c r="F177"/>
  <c r="J170"/>
  <c r="J174"/>
  <c r="F170"/>
  <c r="F168" s="1"/>
  <c r="F174"/>
  <c r="F172" s="1"/>
  <c r="K137"/>
  <c r="L137"/>
  <c r="J139"/>
  <c r="J144"/>
  <c r="F144"/>
  <c r="G133"/>
  <c r="G132" s="1"/>
  <c r="I133"/>
  <c r="K133"/>
  <c r="L133"/>
  <c r="M133"/>
  <c r="J135"/>
  <c r="J136"/>
  <c r="F135"/>
  <c r="F136"/>
  <c r="G123"/>
  <c r="I123"/>
  <c r="K123"/>
  <c r="L123"/>
  <c r="M123"/>
  <c r="J125"/>
  <c r="J126"/>
  <c r="J127"/>
  <c r="J128"/>
  <c r="J129"/>
  <c r="J130"/>
  <c r="J131"/>
  <c r="F125"/>
  <c r="F126"/>
  <c r="F127"/>
  <c r="F128"/>
  <c r="F129"/>
  <c r="F130"/>
  <c r="F131"/>
  <c r="G119"/>
  <c r="I119"/>
  <c r="K119"/>
  <c r="L119"/>
  <c r="M119"/>
  <c r="J121"/>
  <c r="J122"/>
  <c r="F121"/>
  <c r="F122"/>
  <c r="G116"/>
  <c r="I116"/>
  <c r="K116"/>
  <c r="L116"/>
  <c r="M116"/>
  <c r="J118"/>
  <c r="F118"/>
  <c r="G111"/>
  <c r="I111"/>
  <c r="K111"/>
  <c r="L111"/>
  <c r="M111"/>
  <c r="G66"/>
  <c r="I66"/>
  <c r="K66"/>
  <c r="L66"/>
  <c r="M66"/>
  <c r="G107"/>
  <c r="I107"/>
  <c r="K107"/>
  <c r="L107"/>
  <c r="M107"/>
  <c r="J109"/>
  <c r="F109"/>
  <c r="G104"/>
  <c r="I104"/>
  <c r="K104"/>
  <c r="L104"/>
  <c r="M104"/>
  <c r="J106"/>
  <c r="F106"/>
  <c r="G101"/>
  <c r="I101"/>
  <c r="K101"/>
  <c r="L101"/>
  <c r="M101"/>
  <c r="J103"/>
  <c r="F103"/>
  <c r="F101" s="1"/>
  <c r="I93"/>
  <c r="K93"/>
  <c r="L93"/>
  <c r="M93"/>
  <c r="J95"/>
  <c r="J96"/>
  <c r="J97"/>
  <c r="J98"/>
  <c r="J99"/>
  <c r="J100"/>
  <c r="F95"/>
  <c r="F96"/>
  <c r="F97"/>
  <c r="F98"/>
  <c r="F99"/>
  <c r="F100"/>
  <c r="J86"/>
  <c r="J87"/>
  <c r="J88"/>
  <c r="J89"/>
  <c r="J90"/>
  <c r="J92"/>
  <c r="F86"/>
  <c r="F88"/>
  <c r="F89"/>
  <c r="F90"/>
  <c r="F92"/>
  <c r="G75"/>
  <c r="I75"/>
  <c r="K75"/>
  <c r="L75"/>
  <c r="M75"/>
  <c r="J77"/>
  <c r="J78"/>
  <c r="J79"/>
  <c r="J80"/>
  <c r="J82"/>
  <c r="F77"/>
  <c r="F78"/>
  <c r="F79"/>
  <c r="F80"/>
  <c r="F82"/>
  <c r="J68"/>
  <c r="J69"/>
  <c r="J70"/>
  <c r="J72"/>
  <c r="F68"/>
  <c r="F69"/>
  <c r="F70"/>
  <c r="F72"/>
  <c r="J62"/>
  <c r="F62"/>
  <c r="F60" s="1"/>
  <c r="J59"/>
  <c r="F59"/>
  <c r="G57"/>
  <c r="I57"/>
  <c r="K57"/>
  <c r="L57"/>
  <c r="M57"/>
  <c r="G50"/>
  <c r="I50"/>
  <c r="K50"/>
  <c r="L50"/>
  <c r="M50"/>
  <c r="J52"/>
  <c r="J53"/>
  <c r="F52"/>
  <c r="F53"/>
  <c r="G45"/>
  <c r="I45"/>
  <c r="K45"/>
  <c r="L45"/>
  <c r="M45"/>
  <c r="J47"/>
  <c r="J48"/>
  <c r="J49"/>
  <c r="F47"/>
  <c r="F48"/>
  <c r="F49"/>
  <c r="G39"/>
  <c r="I39"/>
  <c r="K39"/>
  <c r="L39"/>
  <c r="M39"/>
  <c r="J41"/>
  <c r="J42"/>
  <c r="F41"/>
  <c r="F42"/>
  <c r="G29"/>
  <c r="I29"/>
  <c r="K29"/>
  <c r="L29"/>
  <c r="M29"/>
  <c r="J33"/>
  <c r="J35"/>
  <c r="J37"/>
  <c r="J38"/>
  <c r="F33"/>
  <c r="F35"/>
  <c r="F37"/>
  <c r="F38"/>
  <c r="J21"/>
  <c r="J22"/>
  <c r="J23"/>
  <c r="J24"/>
  <c r="J25"/>
  <c r="J26"/>
  <c r="J27"/>
  <c r="J28"/>
  <c r="F22"/>
  <c r="F23"/>
  <c r="F24"/>
  <c r="F25"/>
  <c r="F26"/>
  <c r="F27"/>
  <c r="F28"/>
  <c r="F21"/>
  <c r="I19"/>
  <c r="K19"/>
  <c r="L19"/>
  <c r="L9" s="1"/>
  <c r="M19"/>
  <c r="J16"/>
  <c r="J17"/>
  <c r="F16"/>
  <c r="F17"/>
  <c r="K9" l="1"/>
  <c r="I9"/>
  <c r="M9"/>
  <c r="G9"/>
  <c r="H9"/>
  <c r="H180"/>
  <c r="K110"/>
  <c r="H110"/>
  <c r="M110"/>
  <c r="G110"/>
  <c r="L110"/>
  <c r="I110"/>
  <c r="N72"/>
  <c r="N68"/>
  <c r="N92"/>
  <c r="N88"/>
  <c r="N170"/>
  <c r="N194"/>
  <c r="N221"/>
  <c r="N211"/>
  <c r="N82"/>
  <c r="N78"/>
  <c r="N186"/>
  <c r="N26"/>
  <c r="N24"/>
  <c r="N21"/>
  <c r="N42"/>
  <c r="N59"/>
  <c r="N135"/>
  <c r="N139"/>
  <c r="N233"/>
  <c r="N52"/>
  <c r="N150"/>
  <c r="N16"/>
  <c r="N41"/>
  <c r="N49"/>
  <c r="N53"/>
  <c r="N77"/>
  <c r="N100"/>
  <c r="N96"/>
  <c r="N109"/>
  <c r="N122"/>
  <c r="N129"/>
  <c r="N125"/>
  <c r="N184"/>
  <c r="N193"/>
  <c r="N190"/>
  <c r="N202"/>
  <c r="N207"/>
  <c r="N232"/>
  <c r="N166"/>
  <c r="N37"/>
  <c r="N33"/>
  <c r="N97"/>
  <c r="N130"/>
  <c r="N148"/>
  <c r="N17"/>
  <c r="N27"/>
  <c r="N25"/>
  <c r="N22"/>
  <c r="N38"/>
  <c r="N35"/>
  <c r="N47"/>
  <c r="N62"/>
  <c r="N69"/>
  <c r="N79"/>
  <c r="N89"/>
  <c r="N98"/>
  <c r="N95"/>
  <c r="N121"/>
  <c r="N131"/>
  <c r="N127"/>
  <c r="N136"/>
  <c r="N144"/>
  <c r="N174"/>
  <c r="N185"/>
  <c r="N191"/>
  <c r="N222"/>
  <c r="N149"/>
  <c r="N153"/>
  <c r="N163"/>
  <c r="N56"/>
  <c r="N218"/>
  <c r="N126"/>
  <c r="N203"/>
  <c r="N212"/>
  <c r="N28"/>
  <c r="N23"/>
  <c r="N48"/>
  <c r="N70"/>
  <c r="N80"/>
  <c r="N90"/>
  <c r="N86"/>
  <c r="N99"/>
  <c r="N103"/>
  <c r="N106"/>
  <c r="N118"/>
  <c r="N128"/>
  <c r="N187"/>
  <c r="N183"/>
  <c r="N192"/>
  <c r="N210"/>
  <c r="N217"/>
  <c r="N154"/>
  <c r="M214"/>
  <c r="I214"/>
  <c r="J168"/>
  <c r="N168" s="1"/>
  <c r="F29"/>
  <c r="F133"/>
  <c r="J137"/>
  <c r="K214"/>
  <c r="G83"/>
  <c r="L214"/>
  <c r="J60"/>
  <c r="N60" s="1"/>
  <c r="J224"/>
  <c r="J172"/>
  <c r="N172" s="1"/>
  <c r="J155"/>
  <c r="N155" s="1"/>
  <c r="F196"/>
  <c r="J196"/>
  <c r="F167"/>
  <c r="F66"/>
  <c r="J10"/>
  <c r="F10"/>
  <c r="F19"/>
  <c r="J161"/>
  <c r="J107"/>
  <c r="J177"/>
  <c r="N177" s="1"/>
  <c r="J164"/>
  <c r="J104"/>
  <c r="J83"/>
  <c r="J208"/>
  <c r="J200"/>
  <c r="F107"/>
  <c r="F208"/>
  <c r="F104"/>
  <c r="F164"/>
  <c r="F161"/>
  <c r="J101"/>
  <c r="N101" s="1"/>
  <c r="H137"/>
  <c r="F137" s="1"/>
  <c r="F200"/>
  <c r="F87"/>
  <c r="N87" s="1"/>
  <c r="J146"/>
  <c r="J116"/>
  <c r="L132"/>
  <c r="H214"/>
  <c r="J54"/>
  <c r="M65"/>
  <c r="L65"/>
  <c r="F230"/>
  <c r="F146"/>
  <c r="J151"/>
  <c r="I145"/>
  <c r="L145"/>
  <c r="K65"/>
  <c r="H65"/>
  <c r="K145"/>
  <c r="M145"/>
  <c r="H145"/>
  <c r="J111"/>
  <c r="J230"/>
  <c r="F151"/>
  <c r="G145"/>
  <c r="F54"/>
  <c r="G214"/>
  <c r="I65"/>
  <c r="H44"/>
  <c r="I44"/>
  <c r="I132"/>
  <c r="M44"/>
  <c r="J119"/>
  <c r="I195"/>
  <c r="J205"/>
  <c r="F39"/>
  <c r="K132"/>
  <c r="L195"/>
  <c r="M195"/>
  <c r="F57"/>
  <c r="K44"/>
  <c r="J133"/>
  <c r="F111"/>
  <c r="F116"/>
  <c r="J188"/>
  <c r="K195"/>
  <c r="G195"/>
  <c r="L44"/>
  <c r="M132"/>
  <c r="J215"/>
  <c r="J219"/>
  <c r="F205"/>
  <c r="F219"/>
  <c r="F181"/>
  <c r="H195"/>
  <c r="J181"/>
  <c r="J45"/>
  <c r="J39"/>
  <c r="J29"/>
  <c r="F45"/>
  <c r="F50"/>
  <c r="F119"/>
  <c r="F188"/>
  <c r="F215"/>
  <c r="J66"/>
  <c r="J50"/>
  <c r="J19"/>
  <c r="N19" s="1"/>
  <c r="J75"/>
  <c r="F123"/>
  <c r="J123"/>
  <c r="F75"/>
  <c r="J57"/>
  <c r="F93"/>
  <c r="J93"/>
  <c r="N224" l="1"/>
  <c r="J9"/>
  <c r="F9"/>
  <c r="N39"/>
  <c r="F180"/>
  <c r="J180"/>
  <c r="F110"/>
  <c r="J110"/>
  <c r="N66"/>
  <c r="N29"/>
  <c r="N123"/>
  <c r="N208"/>
  <c r="N93"/>
  <c r="N45"/>
  <c r="N119"/>
  <c r="N54"/>
  <c r="N116"/>
  <c r="N104"/>
  <c r="N161"/>
  <c r="N57"/>
  <c r="N205"/>
  <c r="N137"/>
  <c r="N111"/>
  <c r="N75"/>
  <c r="N107"/>
  <c r="N50"/>
  <c r="N215"/>
  <c r="N133"/>
  <c r="N230"/>
  <c r="N151"/>
  <c r="N10"/>
  <c r="N196"/>
  <c r="N200"/>
  <c r="N181"/>
  <c r="N219"/>
  <c r="N188"/>
  <c r="N146"/>
  <c r="N164"/>
  <c r="H132"/>
  <c r="H8" s="1"/>
  <c r="F132"/>
  <c r="K8"/>
  <c r="G65"/>
  <c r="F195"/>
  <c r="J167"/>
  <c r="N167" s="1"/>
  <c r="F83"/>
  <c r="N83" s="1"/>
  <c r="J132"/>
  <c r="J145"/>
  <c r="F145"/>
  <c r="M8"/>
  <c r="J214"/>
  <c r="J65"/>
  <c r="F214"/>
  <c r="J195"/>
  <c r="F44"/>
  <c r="J44"/>
  <c r="I8"/>
  <c r="L8"/>
  <c r="N132" l="1"/>
  <c r="N180"/>
  <c r="N9"/>
  <c r="N145"/>
  <c r="N214"/>
  <c r="N44"/>
  <c r="N195"/>
  <c r="N110"/>
  <c r="N223"/>
  <c r="F65"/>
  <c r="F8" s="1"/>
  <c r="J8"/>
  <c r="N65" l="1"/>
  <c r="N8"/>
  <c r="G44" l="1"/>
  <c r="G8" l="1"/>
</calcChain>
</file>

<file path=xl/sharedStrings.xml><?xml version="1.0" encoding="utf-8"?>
<sst xmlns="http://schemas.openxmlformats.org/spreadsheetml/2006/main" count="722" uniqueCount="394">
  <si>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</si>
  <si>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</si>
  <si>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</si>
  <si>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</si>
  <si>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</si>
  <si>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</si>
  <si>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</si>
  <si>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</si>
  <si>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</si>
  <si>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</si>
  <si>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</si>
  <si>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</si>
  <si>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</si>
  <si>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</si>
  <si>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</si>
  <si>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</si>
  <si>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</si>
  <si>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</si>
  <si>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</si>
  <si>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</si>
  <si>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</si>
  <si>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Приобретение автотранспорта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</si>
  <si>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</si>
  <si>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</si>
  <si>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</si>
  <si>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</si>
  <si>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</si>
  <si>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</si>
  <si>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</si>
  <si>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</si>
  <si>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</si>
  <si>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</si>
  <si>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</si>
  <si>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</si>
  <si>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</si>
  <si>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</si>
  <si>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</si>
  <si>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</si>
  <si>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</si>
  <si>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</si>
  <si>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</si>
  <si>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</si>
  <si>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</si>
  <si>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</si>
  <si>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</si>
  <si>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</si>
  <si>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</si>
  <si>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</si>
  <si>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</si>
  <si>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</si>
  <si>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</si>
  <si>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</si>
  <si>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</si>
  <si>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</si>
  <si>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</si>
  <si>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</si>
  <si>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</si>
  <si>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</si>
  <si>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</si>
  <si>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</si>
  <si>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</si>
  <si>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</si>
  <si>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</si>
  <si>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</si>
  <si>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</si>
  <si>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</si>
  <si>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</si>
  <si>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</si>
  <si>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</si>
  <si>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</si>
  <si>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</si>
  <si>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</si>
  <si>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</si>
  <si>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</si>
  <si>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</si>
  <si>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</si>
  <si>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</si>
  <si>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</si>
  <si>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</si>
  <si>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</si>
  <si>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</si>
  <si>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</si>
  <si>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</si>
  <si>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</si>
  <si>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</si>
  <si>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</si>
  <si>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</si>
  <si>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</si>
  <si>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</si>
  <si>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</si>
  <si>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</si>
  <si>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</si>
  <si>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</si>
  <si>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</si>
  <si>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</si>
  <si>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</si>
  <si>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</si>
  <si>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</si>
  <si>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</si>
  <si>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</si>
  <si>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</si>
  <si>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</si>
  <si>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</si>
  <si>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</si>
  <si>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</si>
  <si>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</si>
  <si>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</si>
  <si>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</si>
  <si>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</si>
  <si>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</si>
  <si>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</si>
  <si>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</si>
  <si>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</si>
  <si>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</si>
  <si>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</si>
  <si>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</si>
  <si>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</si>
  <si>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</si>
  <si>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</si>
  <si>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</si>
  <si>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</si>
  <si>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</si>
  <si>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</si>
  <si>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</si>
  <si>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</si>
  <si>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</si>
  <si>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</si>
  <si>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</si>
  <si>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</si>
  <si>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</si>
  <si>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</si>
  <si>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</si>
  <si>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</si>
  <si>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</si>
  <si>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</si>
  <si>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</si>
  <si>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</si>
  <si>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</si>
  <si>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</si>
  <si>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</si>
  <si>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Государственная поддержка малого и среднего предпринимательства в субъектах Российской Федерации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</si>
  <si>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</si>
  <si>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</si>
  <si>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</si>
  <si>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</si>
  <si>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</si>
  <si>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</si>
  <si>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</si>
  <si>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</si>
  <si>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</si>
  <si>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</si>
  <si>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</si>
  <si>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</si>
  <si>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</si>
  <si>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</si>
  <si>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</si>
  <si>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Капитальный ремонт муниципальных спортивных сооружений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</si>
  <si>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</si>
  <si>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</si>
  <si>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</si>
  <si>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</si>
  <si>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</si>
  <si>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</si>
  <si>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</si>
  <si>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</si>
  <si>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</si>
  <si>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</si>
  <si>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</si>
  <si>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</si>
  <si>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</si>
  <si>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03WI555273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</si>
  <si>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</si>
  <si>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</si>
  <si>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</si>
  <si>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</si>
  <si>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</si>
  <si>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</si>
  <si>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</si>
  <si>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</si>
  <si>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</si>
  <si>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</si>
  <si>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</si>
  <si>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</si>
  <si>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</si>
  <si>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</si>
  <si>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</si>
  <si>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</si>
  <si>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</si>
  <si>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</si>
  <si>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</si>
  <si>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</si>
  <si>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</si>
  <si>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</si>
  <si>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</si>
  <si>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</si>
  <si>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</si>
  <si>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</si>
  <si>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</si>
  <si>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</si>
  <si>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</si>
  <si>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</si>
  <si>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</si>
  <si>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</si>
  <si>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</si>
  <si>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</si>
  <si>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</si>
  <si>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</si>
  <si>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</si>
  <si>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</si>
  <si>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</si>
  <si>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</si>
  <si>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</si>
  <si>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</si>
  <si>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</si>
  <si>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</si>
  <si>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</si>
  <si>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</si>
  <si>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</si>
  <si>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</si>
  <si>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</si>
  <si>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</si>
  <si>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</si>
  <si>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</si>
  <si>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</si>
  <si>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</si>
  <si>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</si>
  <si>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</si>
  <si>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</si>
  <si>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</si>
  <si>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</si>
  <si>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</si>
  <si>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</si>
  <si>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Государственная поддержка отрасли культуры</t>
  </si>
  <si>
    <t>10WA155190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</si>
  <si>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</si>
  <si>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</si>
  <si>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</si>
  <si>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</si>
  <si>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</si>
  <si>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</si>
  <si>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</si>
  <si>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</si>
  <si>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</si>
  <si>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</si>
  <si>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</si>
  <si>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</si>
  <si>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</si>
  <si>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</si>
  <si>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</si>
  <si>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</si>
  <si>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</si>
  <si>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</si>
  <si>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</si>
  <si>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</si>
  <si>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</si>
  <si>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</si>
  <si>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</si>
  <si>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</si>
  <si>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</si>
  <si>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</si>
  <si>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</si>
  <si>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</si>
  <si>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</si>
  <si>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</si>
  <si>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</si>
  <si>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</si>
  <si>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</si>
  <si>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</si>
  <si>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</si>
  <si>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</si>
  <si>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</si>
  <si>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</si>
  <si>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</si>
  <si>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</si>
  <si>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</si>
  <si>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</si>
  <si>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</si>
  <si>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</si>
  <si>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</si>
  <si>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</si>
  <si>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</si>
  <si>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</si>
  <si>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</si>
  <si>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</si>
  <si>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</si>
  <si>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</si>
  <si>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</si>
  <si>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</si>
  <si>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</si>
  <si>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</si>
  <si>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</si>
  <si>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</si>
  <si>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</si>
  <si>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</si>
  <si>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</si>
  <si>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</si>
  <si>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</si>
  <si>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</si>
  <si>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</si>
  <si>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</si>
  <si>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</si>
  <si>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</si>
  <si>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</si>
  <si>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</si>
  <si>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</si>
  <si>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</si>
  <si>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</si>
  <si>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</si>
  <si>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</si>
  <si>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</si>
  <si>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</si>
  <si>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</si>
  <si>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</si>
  <si>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</si>
  <si>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</si>
  <si>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</si>
  <si>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</si>
  <si>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</si>
  <si>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</si>
  <si>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</si>
  <si>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</si>
  <si>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</si>
  <si>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(тыс. руб.)</t>
  </si>
  <si>
    <t>* по данным сводной бюджетной росписи областного бюджета на 2020-2022 годы по состоянию на отчетную дату; лимиты бюджетных обязательств соответствуют плановым назначениям</t>
  </si>
  <si>
    <t>Поддержка малого и среднего предпринимательства по созданию системы акселерации субъектов малого и среднего предпринимательства, включая индивидуальных предпринимателей, в том числе инфраструктуры и сервисов поддержки, а также их ускоренное развитие</t>
  </si>
  <si>
    <t>03WI555276</t>
  </si>
  <si>
    <t>06WI754804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</si>
  <si>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</si>
  <si>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</si>
  <si>
    <t>11WP354680</t>
  </si>
  <si>
    <t>09WE201660</t>
  </si>
  <si>
    <t>Грант в форме субсидии федеральному государственному автономному образовательному учреждению высшего образования "Национальный исследовательский Томский государственный университет" на реализацию пилотных проектов по обновлению содержания и технологий дополнительного образования по приоритетным направлениям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</si>
  <si>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</si>
  <si>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</si>
  <si>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</si>
  <si>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11WP352930</t>
  </si>
  <si>
    <t>09WE141880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</si>
  <si>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</si>
  <si>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</si>
  <si>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</si>
  <si>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</si>
  <si>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801</t>
  </si>
  <si>
    <t>Департамент по управлению государственной собственностью Томской области</t>
  </si>
  <si>
    <t>03WI45527F</t>
  </si>
  <si>
    <t>09WE141890</t>
  </si>
  <si>
    <t>09WE152301</t>
  </si>
  <si>
    <t>Приобретение в муниципальную собственность объектов инженерной инфраструктуры</t>
  </si>
  <si>
    <t>821</t>
  </si>
  <si>
    <t>09WP25232П</t>
  </si>
  <si>
    <t>11WP35121И</t>
  </si>
  <si>
    <t>Строительство объектов коммунальной инфраструктуры государственной собственности Томской области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</si>
  <si>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</si>
  <si>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11WP35121П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</si>
  <si>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</si>
  <si>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</si>
  <si>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Приобретение жилых помещений в многоквартирных домах у застройщиков на территории муниципального образования "Город Томск"</t>
  </si>
  <si>
    <t>13WF34И950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</si>
  <si>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</t>
  </si>
  <si>
    <t>810</t>
  </si>
  <si>
    <t>26WG252681</t>
  </si>
  <si>
    <t>Разработка проектной документации на строительство объектов муниципальной собственности по обработке и утилизации твердых коммунальных отходов</t>
  </si>
  <si>
    <t>26WG24П110</t>
  </si>
  <si>
    <t>Государственная поддержка производства масличных культур</t>
  </si>
  <si>
    <t>06WT252590</t>
  </si>
  <si>
    <t>09WD362357</t>
  </si>
  <si>
    <t>09WD364157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</si>
  <si>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</si>
  <si>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</si>
  <si>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 xml:space="preserve">Новое строительство и реконструкция </t>
  </si>
  <si>
    <t>07WN352271</t>
  </si>
  <si>
    <t>11WP351211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</si>
  <si>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</si>
  <si>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26WG252682</t>
  </si>
  <si>
    <t>Возмещение региональным операторам по обращению с твердыми коммунальными отходами части затрат, связанных с обеспечением непрерывной работы региональных операторов по обращению с твердыми коммунальными отходами, обеспечивающих достижение целей, показателей и результатов федерального проекта "Комплексная система обращения с твердыми коммунальными отходами" национального проекта "Экология"</t>
  </si>
  <si>
    <t>% исполне-ния</t>
  </si>
  <si>
    <t>Финансовое обеспечение дорожной деятельности за счет средств резервного фонда Правительства Российской Федерации</t>
  </si>
  <si>
    <t>18WR158560</t>
  </si>
  <si>
    <t>13WF301990</t>
  </si>
  <si>
    <t>Подготовка документации по планировке территории для размещения объектов регионального значения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</si>
  <si>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 (мероприятия, осуществляемые за счет остатков средств областного бюджета на начало текущего финансового года</t>
  </si>
  <si>
    <t>26WG20П399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</si>
  <si>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</si>
  <si>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Оснащение зданий средствами обучения и воспитания для размещения дошкольных образовательных организаций</t>
  </si>
  <si>
    <t>09WP241060</t>
  </si>
  <si>
    <t>09WP241070</t>
  </si>
  <si>
    <t>Оснащение зданий для размещения дошкольных образовательных организаций оборудованием, предусмотренным проектной документацией</t>
  </si>
  <si>
    <t>Капитальные вложения в объекты государственной собственности в сфере жилищного строительства</t>
  </si>
  <si>
    <t>13WF30И030</t>
  </si>
  <si>
    <t>Национальный проект "Международная кооперация и экспорт"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</si>
  <si>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 (за счет средств областного бюджета</t>
  </si>
  <si>
    <t>09WP252321</t>
  </si>
  <si>
    <r>
      <t>Информация о плановых ассигнованиях и кассовом исполнении расходов консолидированного бюджета Томской области 
на реализацию региональных проектов Томской области</t>
    </r>
    <r>
      <rPr>
        <b/>
        <sz val="14"/>
        <color rgb="FFFF0000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по состоянию на 01.01.2021</t>
    </r>
  </si>
  <si>
    <t>за счет средств местного бюджета</t>
  </si>
  <si>
    <r>
      <t>за счет средств местного бюджета</t>
    </r>
    <r>
      <rPr>
        <i/>
        <sz val="13"/>
        <color theme="1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</si>
</sst>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theme="1"/>
      <name val="Times"/>
      <family val="1"/>
    </font>
    <font>
      <b/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14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right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5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165" fontId="1" fillId="2" borderId="4" xfId="0" applyNumberFormat="1" applyFon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5" fontId="1" fillId="3" borderId="4" xfId="0" applyNumberFormat="1" applyFont="1" applyFill="1" applyBorder="1" applyAlignment="1">
      <alignment horizontal="right" vertical="top"/>
    </xf>
    <xf numFmtId="164" fontId="11" fillId="3" borderId="4" xfId="0" applyNumberFormat="1" applyFont="1" applyFill="1" applyBorder="1" applyAlignment="1">
      <alignment horizontal="right" vertical="top"/>
    </xf>
    <xf numFmtId="165" fontId="11" fillId="3" borderId="4" xfId="0" applyNumberFormat="1" applyFont="1" applyFill="1" applyBorder="1" applyAlignment="1">
      <alignment horizontal="right" vertical="top"/>
    </xf>
    <xf numFmtId="164" fontId="1" fillId="0" borderId="4" xfId="0" applyNumberFormat="1" applyFont="1" applyFill="1" applyBorder="1" applyAlignment="1">
      <alignment horizontal="right" vertical="top"/>
    </xf>
    <xf numFmtId="164" fontId="13" fillId="3" borderId="4" xfId="0" applyNumberFormat="1" applyFont="1" applyFill="1" applyBorder="1" applyAlignment="1">
      <alignment horizontal="right" vertical="top"/>
    </xf>
    <xf numFmtId="165" fontId="13" fillId="3" borderId="4" xfId="0" applyNumberFormat="1" applyFont="1" applyFill="1" applyBorder="1" applyAlignment="1">
      <alignment horizontal="right" vertical="top"/>
    </xf>
    <xf numFmtId="165" fontId="1" fillId="0" borderId="4" xfId="0" applyNumberFormat="1" applyFont="1" applyFill="1" applyBorder="1" applyAlignment="1">
      <alignment horizontal="right" vertical="top"/>
    </xf>
    <xf numFmtId="164" fontId="12" fillId="3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" fontId="2" fillId="3" borderId="4" xfId="0" applyNumberFormat="1" applyFont="1" applyFill="1" applyBorder="1" applyAlignment="1">
      <alignment horizontal="center" vertical="top"/>
    </xf>
    <xf numFmtId="49" fontId="5" fillId="0" borderId="4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56"/>
  <sheetViews>
    <sheetView tabSelected="1" view="pageBreakPreview" zoomScale="75" zoomScaleNormal="100" zoomScaleSheetLayoutView="75" workbookViewId="0">
      <pane xSplit="4" ySplit="7" topLeftCell="E164" activePane="bottomRight" state="frozen"/>
      <selection pane="topRight" activeCell="E1" sqref="E1"/>
      <selection pane="bottomLeft" activeCell="A8" sqref="A8"/>
      <selection pane="bottomRight" activeCell="P175" sqref="P175"/>
    </sheetView>
  </sheetViews>
  <sheetFormatPr defaultColWidth="8.85546875" defaultRowHeight="15"/>
  <cols>
    <col min="1" max="1" width="6.42578125" style="2" customWidth="1"/>
    <col min="2" max="2" width="56.85546875" style="12" customWidth="1"/>
    <col min="3" max="3" width="7.7109375" style="2" customWidth="1"/>
    <col min="4" max="4" width="47.140625" style="2" customWidth="1"/>
    <col min="5" max="5" width="20.7109375" style="2" customWidth="1"/>
    <col min="6" max="6" width="17.42578125" style="2" customWidth="1"/>
    <col min="7" max="7" width="16" style="47" customWidth="1"/>
    <col min="8" max="8" width="17.85546875" style="47" customWidth="1"/>
    <col min="9" max="9" width="16.140625" style="47" customWidth="1"/>
    <col min="10" max="10" width="17" style="2" customWidth="1"/>
    <col min="11" max="11" width="17.42578125" style="47" customWidth="1"/>
    <col min="12" max="12" width="17.5703125" style="47" customWidth="1"/>
    <col min="13" max="13" width="14.85546875" style="47" customWidth="1"/>
    <col min="14" max="14" width="12.140625" style="2" customWidth="1"/>
    <col min="15" max="15" width="8.85546875" style="2"/>
    <col min="16" max="16" width="11" style="2" bestFit="1" customWidth="1"/>
    <col min="17" max="16384" width="8.85546875" style="2"/>
  </cols>
  <sheetData>
    <row r="1" spans="1:16" ht="15" customHeight="1">
      <c r="A1" s="71" t="s">
        <v>391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7.5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6" ht="15.75">
      <c r="E3" s="3"/>
      <c r="N3" s="48" t="s">
        <v>322</v>
      </c>
    </row>
    <row r="4" spans="1:16" ht="16.5" customHeight="1">
      <c r="A4" s="75" t="s">
        <v>0</v>
      </c>
      <c r="B4" s="72" t="s">
        <v>1</v>
      </c>
      <c r="C4" s="75" t="s">
        <v>2</v>
      </c>
      <c r="D4" s="75" t="s">
        <v>3</v>
      </c>
      <c r="E4" s="75" t="s">
        <v>4</v>
      </c>
      <c r="F4" s="68" t="s">
        <v>167</v>
      </c>
      <c r="G4" s="69"/>
      <c r="H4" s="69"/>
      <c r="I4" s="69"/>
      <c r="J4" s="69"/>
      <c r="K4" s="69"/>
      <c r="L4" s="69"/>
      <c r="M4" s="70"/>
      <c r="N4" s="72" t="s">
        <v>374</v>
      </c>
    </row>
    <row r="5" spans="1:16" ht="16.5" customHeight="1">
      <c r="A5" s="76"/>
      <c r="B5" s="78"/>
      <c r="C5" s="76"/>
      <c r="D5" s="76"/>
      <c r="E5" s="80"/>
      <c r="F5" s="68" t="s">
        <v>5</v>
      </c>
      <c r="G5" s="69"/>
      <c r="H5" s="69"/>
      <c r="I5" s="70"/>
      <c r="J5" s="68" t="s">
        <v>6</v>
      </c>
      <c r="K5" s="69"/>
      <c r="L5" s="69"/>
      <c r="M5" s="70"/>
      <c r="N5" s="73"/>
    </row>
    <row r="6" spans="1:16" ht="66">
      <c r="A6" s="77"/>
      <c r="B6" s="79"/>
      <c r="C6" s="77"/>
      <c r="D6" s="77"/>
      <c r="E6" s="81"/>
      <c r="F6" s="24" t="s">
        <v>7</v>
      </c>
      <c r="G6" s="40" t="s">
        <v>8</v>
      </c>
      <c r="H6" s="40" t="s">
        <v>9</v>
      </c>
      <c r="I6" s="40" t="s">
        <v>392</v>
      </c>
      <c r="J6" s="24" t="s">
        <v>7</v>
      </c>
      <c r="K6" s="40" t="s">
        <v>8</v>
      </c>
      <c r="L6" s="40" t="s">
        <v>9</v>
      </c>
      <c r="M6" s="40" t="s">
        <v>393</v>
      </c>
      <c r="N6" s="74"/>
    </row>
    <row r="7" spans="1:16" ht="16.5">
      <c r="A7" s="41" t="s">
        <v>10</v>
      </c>
      <c r="B7" s="13">
        <v>2</v>
      </c>
      <c r="C7" s="5">
        <v>3</v>
      </c>
      <c r="D7" s="5">
        <v>4</v>
      </c>
      <c r="E7" s="5">
        <v>5</v>
      </c>
      <c r="F7" s="24">
        <v>6</v>
      </c>
      <c r="G7" s="40">
        <v>7</v>
      </c>
      <c r="H7" s="40">
        <v>8</v>
      </c>
      <c r="I7" s="40">
        <v>9</v>
      </c>
      <c r="J7" s="24">
        <v>10</v>
      </c>
      <c r="K7" s="40">
        <v>11</v>
      </c>
      <c r="L7" s="40">
        <v>12</v>
      </c>
      <c r="M7" s="40">
        <v>13</v>
      </c>
      <c r="N7" s="49">
        <v>14</v>
      </c>
    </row>
    <row r="8" spans="1:16" ht="19.5">
      <c r="A8" s="42"/>
      <c r="B8" s="14" t="s">
        <v>11</v>
      </c>
      <c r="C8" s="5"/>
      <c r="D8" s="5"/>
      <c r="E8" s="5"/>
      <c r="F8" s="50">
        <f t="shared" ref="F8:M8" si="0">F9+F44+F65+F110+F132+F145+F167+F180+F195+F214+F223</f>
        <v>13932982.800000001</v>
      </c>
      <c r="G8" s="51">
        <f t="shared" si="0"/>
        <v>5909118.2000000002</v>
      </c>
      <c r="H8" s="51">
        <f t="shared" si="0"/>
        <v>7509524.2999999998</v>
      </c>
      <c r="I8" s="51">
        <f t="shared" si="0"/>
        <v>514340.3</v>
      </c>
      <c r="J8" s="50">
        <f t="shared" si="0"/>
        <v>12803717</v>
      </c>
      <c r="K8" s="51">
        <f t="shared" si="0"/>
        <v>5717390.5999999996</v>
      </c>
      <c r="L8" s="51">
        <f t="shared" si="0"/>
        <v>6586525.2999999998</v>
      </c>
      <c r="M8" s="51">
        <f t="shared" si="0"/>
        <v>499801.1</v>
      </c>
      <c r="N8" s="52">
        <f>J8/F8</f>
        <v>0.91900000000000004</v>
      </c>
      <c r="P8" s="23"/>
    </row>
    <row r="9" spans="1:16" ht="18.75">
      <c r="A9" s="43">
        <v>1</v>
      </c>
      <c r="B9" s="21" t="s">
        <v>12</v>
      </c>
      <c r="C9" s="1" t="s">
        <v>13</v>
      </c>
      <c r="D9" s="1" t="s">
        <v>13</v>
      </c>
      <c r="E9" s="1" t="s">
        <v>13</v>
      </c>
      <c r="F9" s="53">
        <f>F10+F19+F29+F39</f>
        <v>3339461</v>
      </c>
      <c r="G9" s="53">
        <f t="shared" ref="G9:M9" si="1">G10+G19+G29+G39</f>
        <v>1389998.5</v>
      </c>
      <c r="H9" s="53">
        <f t="shared" si="1"/>
        <v>1898373.3</v>
      </c>
      <c r="I9" s="53">
        <f t="shared" si="1"/>
        <v>51089.2</v>
      </c>
      <c r="J9" s="53">
        <f t="shared" si="1"/>
        <v>3253321.4</v>
      </c>
      <c r="K9" s="53">
        <f t="shared" si="1"/>
        <v>1380523.4</v>
      </c>
      <c r="L9" s="53">
        <f t="shared" si="1"/>
        <v>1823835.1</v>
      </c>
      <c r="M9" s="53">
        <f t="shared" si="1"/>
        <v>48962.9</v>
      </c>
      <c r="N9" s="54">
        <f t="shared" ref="N9:N49" si="2">J9/F9</f>
        <v>0.97399999999999998</v>
      </c>
    </row>
    <row r="10" spans="1:16" ht="33">
      <c r="A10" s="38" t="s">
        <v>14</v>
      </c>
      <c r="B10" s="26" t="s">
        <v>15</v>
      </c>
      <c r="C10" s="27" t="s">
        <v>13</v>
      </c>
      <c r="D10" s="27" t="s">
        <v>13</v>
      </c>
      <c r="E10" s="27" t="s">
        <v>13</v>
      </c>
      <c r="F10" s="55">
        <f t="shared" ref="F10:M10" si="3">SUM(F12:F18)</f>
        <v>337220.9</v>
      </c>
      <c r="G10" s="55">
        <f t="shared" si="3"/>
        <v>51942.5</v>
      </c>
      <c r="H10" s="55">
        <f t="shared" si="3"/>
        <v>285278.40000000002</v>
      </c>
      <c r="I10" s="55">
        <f t="shared" si="3"/>
        <v>0</v>
      </c>
      <c r="J10" s="55">
        <f t="shared" si="3"/>
        <v>331750.7</v>
      </c>
      <c r="K10" s="55">
        <f t="shared" si="3"/>
        <v>46474.2</v>
      </c>
      <c r="L10" s="55">
        <f t="shared" si="3"/>
        <v>285276.5</v>
      </c>
      <c r="M10" s="55">
        <f t="shared" si="3"/>
        <v>0</v>
      </c>
      <c r="N10" s="56">
        <f t="shared" si="2"/>
        <v>0.98399999999999999</v>
      </c>
    </row>
    <row r="11" spans="1:16" ht="18.75">
      <c r="A11" s="38"/>
      <c r="B11" s="28" t="s">
        <v>16</v>
      </c>
      <c r="C11" s="29"/>
      <c r="D11" s="29"/>
      <c r="E11" s="29"/>
      <c r="F11" s="55"/>
      <c r="G11" s="57"/>
      <c r="H11" s="57"/>
      <c r="I11" s="57"/>
      <c r="J11" s="55"/>
      <c r="K11" s="57"/>
      <c r="L11" s="57"/>
      <c r="M11" s="57"/>
      <c r="N11" s="58"/>
    </row>
    <row r="12" spans="1:16" ht="81" customHeight="1">
      <c r="A12" s="38"/>
      <c r="B12" s="32" t="s">
        <v>19</v>
      </c>
      <c r="C12" s="29">
        <v>811</v>
      </c>
      <c r="D12" s="31" t="s">
        <v>18</v>
      </c>
      <c r="E12" s="29" t="s">
        <v>329</v>
      </c>
      <c r="F12" s="55">
        <f t="shared" ref="F12:F17" si="4">G12+H12+I12</f>
        <v>212.2</v>
      </c>
      <c r="G12" s="57"/>
      <c r="H12" s="57">
        <v>212.2</v>
      </c>
      <c r="I12" s="57"/>
      <c r="J12" s="55">
        <f>K12+L12+M12</f>
        <v>210.7</v>
      </c>
      <c r="K12" s="57"/>
      <c r="L12" s="57">
        <v>210.7</v>
      </c>
      <c r="M12" s="57"/>
      <c r="N12" s="58">
        <f t="shared" si="2"/>
        <v>0.99299999999999999</v>
      </c>
    </row>
    <row r="13" spans="1:16" ht="84" customHeight="1">
      <c r="A13" s="38"/>
      <c r="B13" s="32" t="s">
        <v>371</v>
      </c>
      <c r="C13" s="29">
        <v>821</v>
      </c>
      <c r="D13" s="31" t="s">
        <v>20</v>
      </c>
      <c r="E13" s="29" t="s">
        <v>370</v>
      </c>
      <c r="F13" s="55">
        <f t="shared" si="4"/>
        <v>402</v>
      </c>
      <c r="G13" s="57">
        <f>402-0.03</f>
        <v>402</v>
      </c>
      <c r="H13" s="57"/>
      <c r="I13" s="57"/>
      <c r="J13" s="55">
        <f>K13+L13+M13</f>
        <v>379.5</v>
      </c>
      <c r="K13" s="57">
        <v>379.5</v>
      </c>
      <c r="L13" s="57"/>
      <c r="M13" s="57"/>
      <c r="N13" s="58">
        <f t="shared" si="2"/>
        <v>0.94399999999999995</v>
      </c>
    </row>
    <row r="14" spans="1:16" ht="58.5" customHeight="1">
      <c r="A14" s="38"/>
      <c r="B14" s="32" t="s">
        <v>350</v>
      </c>
      <c r="C14" s="29">
        <v>821</v>
      </c>
      <c r="D14" s="31" t="s">
        <v>20</v>
      </c>
      <c r="E14" s="29" t="s">
        <v>349</v>
      </c>
      <c r="F14" s="55">
        <f t="shared" si="4"/>
        <v>37127.699999999997</v>
      </c>
      <c r="G14" s="57">
        <f>11009.2+5040+21063.5+15</f>
        <v>37127.699999999997</v>
      </c>
      <c r="H14" s="57"/>
      <c r="I14" s="57"/>
      <c r="J14" s="55">
        <f>K14+L14+M14</f>
        <v>37120</v>
      </c>
      <c r="K14" s="57">
        <f>10+37110</f>
        <v>37120</v>
      </c>
      <c r="L14" s="57"/>
      <c r="M14" s="57"/>
      <c r="N14" s="58">
        <f t="shared" si="2"/>
        <v>1</v>
      </c>
    </row>
    <row r="15" spans="1:16" ht="74.25" customHeight="1">
      <c r="A15" s="38"/>
      <c r="B15" s="32" t="s">
        <v>351</v>
      </c>
      <c r="C15" s="29">
        <v>821</v>
      </c>
      <c r="D15" s="31" t="s">
        <v>20</v>
      </c>
      <c r="E15" s="29" t="s">
        <v>352</v>
      </c>
      <c r="F15" s="55">
        <f t="shared" si="4"/>
        <v>5635.2</v>
      </c>
      <c r="G15" s="57">
        <f>1670.8+2826.5+1137.9</f>
        <v>5635.2</v>
      </c>
      <c r="H15" s="57"/>
      <c r="I15" s="57"/>
      <c r="J15" s="55">
        <f t="shared" ref="J15" si="5">K15+L15+M15</f>
        <v>197.2</v>
      </c>
      <c r="K15" s="57">
        <v>197.2</v>
      </c>
      <c r="L15" s="57"/>
      <c r="M15" s="57"/>
      <c r="N15" s="58">
        <f t="shared" si="2"/>
        <v>3.5000000000000003E-2</v>
      </c>
    </row>
    <row r="16" spans="1:16" ht="72.75" customHeight="1">
      <c r="A16" s="38"/>
      <c r="B16" s="32" t="s">
        <v>237</v>
      </c>
      <c r="C16" s="29">
        <v>839</v>
      </c>
      <c r="D16" s="31" t="s">
        <v>17</v>
      </c>
      <c r="E16" s="29" t="s">
        <v>238</v>
      </c>
      <c r="F16" s="55">
        <f t="shared" si="4"/>
        <v>3405.4</v>
      </c>
      <c r="G16" s="57">
        <f>165.7+228.99+15.84+0.76-309.12</f>
        <v>102.2</v>
      </c>
      <c r="H16" s="57">
        <f>5356.9+7404.7+512.1+24.44-9994.91</f>
        <v>3303.2</v>
      </c>
      <c r="I16" s="57"/>
      <c r="J16" s="55">
        <f t="shared" ref="J16:J17" si="6">K16+L16+M16</f>
        <v>3404.9</v>
      </c>
      <c r="K16" s="57">
        <f>85.2+5.66+0.36+10.15+0.72</f>
        <v>102.1</v>
      </c>
      <c r="L16" s="57">
        <f>2718.3+38.07+183.07+11.64+328.16+23.37+0.15</f>
        <v>3302.8</v>
      </c>
      <c r="M16" s="57"/>
      <c r="N16" s="58">
        <f t="shared" si="2"/>
        <v>1</v>
      </c>
    </row>
    <row r="17" spans="1:14" ht="174.75" customHeight="1">
      <c r="A17" s="38"/>
      <c r="B17" s="32" t="s">
        <v>328</v>
      </c>
      <c r="C17" s="29">
        <v>821</v>
      </c>
      <c r="D17" s="31" t="s">
        <v>20</v>
      </c>
      <c r="E17" s="29" t="s">
        <v>236</v>
      </c>
      <c r="F17" s="55">
        <f t="shared" si="4"/>
        <v>289179.5</v>
      </c>
      <c r="G17" s="57">
        <f>8855.4-180</f>
        <v>8675.4</v>
      </c>
      <c r="H17" s="57">
        <f>197445.6+88878.5-5820</f>
        <v>280504.09999999998</v>
      </c>
      <c r="I17" s="57"/>
      <c r="J17" s="55">
        <f t="shared" si="6"/>
        <v>289179.5</v>
      </c>
      <c r="K17" s="57">
        <v>8675.4</v>
      </c>
      <c r="L17" s="57">
        <f>91809.4+28989.07+11560.93+28320+22672.17+5370.85+11558.38+7346.9+9080.33+31079.72+32716.35</f>
        <v>280504.09999999998</v>
      </c>
      <c r="M17" s="57"/>
      <c r="N17" s="58">
        <f t="shared" si="2"/>
        <v>1</v>
      </c>
    </row>
    <row r="18" spans="1:14" ht="33">
      <c r="A18" s="38"/>
      <c r="B18" s="32" t="s">
        <v>21</v>
      </c>
      <c r="C18" s="29">
        <v>809</v>
      </c>
      <c r="D18" s="31" t="s">
        <v>22</v>
      </c>
      <c r="E18" s="29" t="s">
        <v>335</v>
      </c>
      <c r="F18" s="55">
        <f>G18+H18+I18</f>
        <v>1258.9000000000001</v>
      </c>
      <c r="G18" s="57"/>
      <c r="H18" s="57">
        <v>1258.9000000000001</v>
      </c>
      <c r="I18" s="57"/>
      <c r="J18" s="55">
        <f>K18+L18+M18</f>
        <v>1258.9000000000001</v>
      </c>
      <c r="K18" s="57"/>
      <c r="L18" s="57">
        <v>1258.9000000000001</v>
      </c>
      <c r="M18" s="57"/>
      <c r="N18" s="58">
        <f t="shared" si="2"/>
        <v>1</v>
      </c>
    </row>
    <row r="19" spans="1:14" ht="33">
      <c r="A19" s="41" t="s">
        <v>23</v>
      </c>
      <c r="B19" s="15" t="s">
        <v>24</v>
      </c>
      <c r="C19" s="6" t="s">
        <v>13</v>
      </c>
      <c r="D19" s="6" t="s">
        <v>13</v>
      </c>
      <c r="E19" s="6" t="s">
        <v>13</v>
      </c>
      <c r="F19" s="59">
        <f t="shared" ref="F19:M19" si="7">SUM(F21:F28)</f>
        <v>223822.7</v>
      </c>
      <c r="G19" s="55">
        <f t="shared" si="7"/>
        <v>139853.6</v>
      </c>
      <c r="H19" s="55">
        <f t="shared" si="7"/>
        <v>63690.9</v>
      </c>
      <c r="I19" s="55">
        <f t="shared" si="7"/>
        <v>20278.2</v>
      </c>
      <c r="J19" s="59">
        <f t="shared" si="7"/>
        <v>220785.6</v>
      </c>
      <c r="K19" s="55">
        <f t="shared" si="7"/>
        <v>139729.79999999999</v>
      </c>
      <c r="L19" s="55">
        <f t="shared" si="7"/>
        <v>62689</v>
      </c>
      <c r="M19" s="55">
        <f t="shared" si="7"/>
        <v>18366.8</v>
      </c>
      <c r="N19" s="56">
        <f t="shared" si="2"/>
        <v>0.98599999999999999</v>
      </c>
    </row>
    <row r="20" spans="1:14" ht="18.75">
      <c r="A20" s="44"/>
      <c r="B20" s="28" t="s">
        <v>16</v>
      </c>
      <c r="C20" s="29"/>
      <c r="D20" s="29"/>
      <c r="E20" s="29"/>
      <c r="F20" s="55"/>
      <c r="G20" s="55"/>
      <c r="H20" s="55"/>
      <c r="I20" s="55"/>
      <c r="J20" s="55"/>
      <c r="K20" s="55"/>
      <c r="L20" s="55"/>
      <c r="M20" s="55"/>
      <c r="N20" s="56"/>
    </row>
    <row r="21" spans="1:14" ht="59.25" customHeight="1">
      <c r="A21" s="44"/>
      <c r="B21" s="32" t="s">
        <v>25</v>
      </c>
      <c r="C21" s="29">
        <v>813</v>
      </c>
      <c r="D21" s="31" t="s">
        <v>26</v>
      </c>
      <c r="E21" s="29" t="s">
        <v>210</v>
      </c>
      <c r="F21" s="55">
        <f t="shared" ref="F21:F28" si="8">G21+H21+I21</f>
        <v>37058.699999999997</v>
      </c>
      <c r="G21" s="57">
        <f>321.1+773.2</f>
        <v>1094.3</v>
      </c>
      <c r="H21" s="57">
        <f>10381.9+25000</f>
        <v>35381.9</v>
      </c>
      <c r="I21" s="57">
        <v>582.5</v>
      </c>
      <c r="J21" s="55">
        <f t="shared" ref="J21:J28" si="9">K21+L21+M21</f>
        <v>36015.1</v>
      </c>
      <c r="K21" s="57">
        <v>1063.3</v>
      </c>
      <c r="L21" s="57">
        <f>2061.1+2439.46+2595.52+24436.79+244.5+2595.52+7.08</f>
        <v>34380</v>
      </c>
      <c r="M21" s="57">
        <v>571.79999999999995</v>
      </c>
      <c r="N21" s="58">
        <f t="shared" si="2"/>
        <v>0.97199999999999998</v>
      </c>
    </row>
    <row r="22" spans="1:14" ht="39" customHeight="1">
      <c r="A22" s="44"/>
      <c r="B22" s="32" t="s">
        <v>156</v>
      </c>
      <c r="C22" s="29">
        <v>821</v>
      </c>
      <c r="D22" s="31" t="s">
        <v>20</v>
      </c>
      <c r="E22" s="29" t="s">
        <v>308</v>
      </c>
      <c r="F22" s="55">
        <f t="shared" si="8"/>
        <v>23554.9</v>
      </c>
      <c r="G22" s="57">
        <f>100000-65000-15000</f>
        <v>20000</v>
      </c>
      <c r="H22" s="57"/>
      <c r="I22" s="57">
        <v>3554.9</v>
      </c>
      <c r="J22" s="55">
        <f t="shared" si="9"/>
        <v>22318.1</v>
      </c>
      <c r="K22" s="57">
        <f>15000+20000-15000</f>
        <v>20000</v>
      </c>
      <c r="L22" s="57"/>
      <c r="M22" s="57">
        <v>2318.1</v>
      </c>
      <c r="N22" s="58">
        <f t="shared" si="2"/>
        <v>0.94699999999999995</v>
      </c>
    </row>
    <row r="23" spans="1:14" ht="74.25" customHeight="1">
      <c r="A23" s="44"/>
      <c r="B23" s="32" t="s">
        <v>279</v>
      </c>
      <c r="C23" s="29">
        <v>813</v>
      </c>
      <c r="D23" s="31" t="s">
        <v>26</v>
      </c>
      <c r="E23" s="29" t="s">
        <v>278</v>
      </c>
      <c r="F23" s="55">
        <f t="shared" si="8"/>
        <v>31579</v>
      </c>
      <c r="G23" s="57">
        <v>30000</v>
      </c>
      <c r="H23" s="57"/>
      <c r="I23" s="57">
        <v>1579</v>
      </c>
      <c r="J23" s="55">
        <f t="shared" si="9"/>
        <v>31579</v>
      </c>
      <c r="K23" s="57">
        <f>404.6+10593.6+1159.2+17842.6</f>
        <v>30000</v>
      </c>
      <c r="L23" s="57"/>
      <c r="M23" s="57">
        <v>1579</v>
      </c>
      <c r="N23" s="58">
        <f t="shared" si="2"/>
        <v>1</v>
      </c>
    </row>
    <row r="24" spans="1:14" ht="147.75" customHeight="1">
      <c r="A24" s="44"/>
      <c r="B24" s="32" t="s">
        <v>27</v>
      </c>
      <c r="C24" s="29">
        <v>813</v>
      </c>
      <c r="D24" s="31" t="s">
        <v>26</v>
      </c>
      <c r="E24" s="29" t="s">
        <v>281</v>
      </c>
      <c r="F24" s="55">
        <f t="shared" si="8"/>
        <v>9974.5</v>
      </c>
      <c r="G24" s="57">
        <v>9000</v>
      </c>
      <c r="H24" s="57"/>
      <c r="I24" s="57">
        <v>974.5</v>
      </c>
      <c r="J24" s="55">
        <f t="shared" si="9"/>
        <v>9972.6</v>
      </c>
      <c r="K24" s="57">
        <f>600+1800+900+300+3207.4+900+600+92.6+600</f>
        <v>9000</v>
      </c>
      <c r="L24" s="57"/>
      <c r="M24" s="57">
        <v>972.6</v>
      </c>
      <c r="N24" s="58">
        <f t="shared" si="2"/>
        <v>1</v>
      </c>
    </row>
    <row r="25" spans="1:14" ht="49.5">
      <c r="A25" s="44"/>
      <c r="B25" s="32" t="s">
        <v>28</v>
      </c>
      <c r="C25" s="29">
        <v>813</v>
      </c>
      <c r="D25" s="31" t="s">
        <v>26</v>
      </c>
      <c r="E25" s="29" t="s">
        <v>280</v>
      </c>
      <c r="F25" s="55">
        <f t="shared" si="8"/>
        <v>83221.8</v>
      </c>
      <c r="G25" s="57">
        <v>71646.899999999994</v>
      </c>
      <c r="H25" s="57"/>
      <c r="I25" s="57">
        <v>11574.9</v>
      </c>
      <c r="J25" s="55">
        <f t="shared" si="9"/>
        <v>82582</v>
      </c>
      <c r="K25" s="57">
        <f>14605.3+1982.9+10482.8+145+5554+5554+5554+5554+5554+5554.3+5553.6+5553</f>
        <v>71646.899999999994</v>
      </c>
      <c r="L25" s="57"/>
      <c r="M25" s="57">
        <v>10935.1</v>
      </c>
      <c r="N25" s="58">
        <f t="shared" si="2"/>
        <v>0.99199999999999999</v>
      </c>
    </row>
    <row r="26" spans="1:14" ht="87.75" customHeight="1">
      <c r="A26" s="44"/>
      <c r="B26" s="32" t="s">
        <v>206</v>
      </c>
      <c r="C26" s="29">
        <v>813</v>
      </c>
      <c r="D26" s="31" t="s">
        <v>26</v>
      </c>
      <c r="E26" s="29" t="s">
        <v>207</v>
      </c>
      <c r="F26" s="55">
        <f t="shared" si="8"/>
        <v>6487.2</v>
      </c>
      <c r="G26" s="57">
        <v>3000</v>
      </c>
      <c r="H26" s="57">
        <v>3309</v>
      </c>
      <c r="I26" s="57">
        <v>178.2</v>
      </c>
      <c r="J26" s="55">
        <f t="shared" si="9"/>
        <v>6487.2</v>
      </c>
      <c r="K26" s="57">
        <f>199.4+628.41+403.53+107.26+51.17+14.27+94.79+0.35+935.14+268.35+297.32</f>
        <v>3000</v>
      </c>
      <c r="L26" s="57">
        <f>1476.47+56.44+15.73+104.55+0.38+1031.46+295.99+327.94</f>
        <v>3309</v>
      </c>
      <c r="M26" s="57">
        <v>178.2</v>
      </c>
      <c r="N26" s="58">
        <f t="shared" si="2"/>
        <v>1</v>
      </c>
    </row>
    <row r="27" spans="1:14" ht="75" customHeight="1">
      <c r="A27" s="44"/>
      <c r="B27" s="32" t="s">
        <v>208</v>
      </c>
      <c r="C27" s="29">
        <v>821</v>
      </c>
      <c r="D27" s="31" t="s">
        <v>20</v>
      </c>
      <c r="E27" s="29" t="s">
        <v>209</v>
      </c>
      <c r="F27" s="55">
        <f t="shared" si="8"/>
        <v>5376.3</v>
      </c>
      <c r="G27" s="57">
        <v>4339.2</v>
      </c>
      <c r="H27" s="57"/>
      <c r="I27" s="57">
        <v>1037.0999999999999</v>
      </c>
      <c r="J27" s="55">
        <f t="shared" si="9"/>
        <v>5261.3</v>
      </c>
      <c r="K27" s="57">
        <v>4246.3999999999996</v>
      </c>
      <c r="L27" s="57"/>
      <c r="M27" s="57">
        <v>1014.9</v>
      </c>
      <c r="N27" s="58">
        <f t="shared" si="2"/>
        <v>0.97899999999999998</v>
      </c>
    </row>
    <row r="28" spans="1:14" ht="56.25" customHeight="1">
      <c r="A28" s="44"/>
      <c r="B28" s="32" t="s">
        <v>211</v>
      </c>
      <c r="C28" s="29">
        <v>813</v>
      </c>
      <c r="D28" s="31" t="s">
        <v>26</v>
      </c>
      <c r="E28" s="29" t="s">
        <v>212</v>
      </c>
      <c r="F28" s="55">
        <f t="shared" si="8"/>
        <v>26570.3</v>
      </c>
      <c r="G28" s="57">
        <v>773.2</v>
      </c>
      <c r="H28" s="57">
        <v>25000</v>
      </c>
      <c r="I28" s="57">
        <v>797.1</v>
      </c>
      <c r="J28" s="55">
        <f t="shared" si="9"/>
        <v>26570.3</v>
      </c>
      <c r="K28" s="57">
        <v>773.2</v>
      </c>
      <c r="L28" s="57">
        <v>25000</v>
      </c>
      <c r="M28" s="57">
        <v>797.1</v>
      </c>
      <c r="N28" s="58">
        <f t="shared" si="2"/>
        <v>1</v>
      </c>
    </row>
    <row r="29" spans="1:14" ht="66">
      <c r="A29" s="41" t="s">
        <v>29</v>
      </c>
      <c r="B29" s="15" t="s">
        <v>30</v>
      </c>
      <c r="C29" s="6" t="s">
        <v>13</v>
      </c>
      <c r="D29" s="6" t="s">
        <v>13</v>
      </c>
      <c r="E29" s="6" t="s">
        <v>13</v>
      </c>
      <c r="F29" s="59">
        <f t="shared" ref="F29:M29" si="10">SUM(F31:F38)</f>
        <v>1114363.1000000001</v>
      </c>
      <c r="G29" s="55">
        <f t="shared" si="10"/>
        <v>531663.6</v>
      </c>
      <c r="H29" s="55">
        <f t="shared" si="10"/>
        <v>551888.5</v>
      </c>
      <c r="I29" s="55">
        <f t="shared" si="10"/>
        <v>30811</v>
      </c>
      <c r="J29" s="59">
        <f t="shared" si="10"/>
        <v>1036802.9</v>
      </c>
      <c r="K29" s="55">
        <f t="shared" si="10"/>
        <v>527781.9</v>
      </c>
      <c r="L29" s="55">
        <f t="shared" si="10"/>
        <v>478424.9</v>
      </c>
      <c r="M29" s="55">
        <f t="shared" si="10"/>
        <v>30596.1</v>
      </c>
      <c r="N29" s="56">
        <f t="shared" si="2"/>
        <v>0.93</v>
      </c>
    </row>
    <row r="30" spans="1:14" ht="18.75">
      <c r="A30" s="38"/>
      <c r="B30" s="28" t="s">
        <v>16</v>
      </c>
      <c r="C30" s="29"/>
      <c r="D30" s="29"/>
      <c r="E30" s="29"/>
      <c r="F30" s="55"/>
      <c r="G30" s="55"/>
      <c r="H30" s="55"/>
      <c r="I30" s="55"/>
      <c r="J30" s="55"/>
      <c r="K30" s="55"/>
      <c r="L30" s="55"/>
      <c r="M30" s="55"/>
      <c r="N30" s="56"/>
    </row>
    <row r="31" spans="1:14" ht="111.75" customHeight="1">
      <c r="A31" s="38"/>
      <c r="B31" s="32" t="s">
        <v>382</v>
      </c>
      <c r="C31" s="29">
        <v>815</v>
      </c>
      <c r="D31" s="31" t="s">
        <v>58</v>
      </c>
      <c r="E31" s="29" t="s">
        <v>383</v>
      </c>
      <c r="F31" s="55">
        <f t="shared" ref="F31:F38" si="11">G31+H31+I31</f>
        <v>35234.5</v>
      </c>
      <c r="G31" s="57">
        <f>22523.4+8541.48</f>
        <v>31064.9</v>
      </c>
      <c r="H31" s="57"/>
      <c r="I31" s="57">
        <v>4169.6000000000004</v>
      </c>
      <c r="J31" s="55">
        <f t="shared" ref="J31:J38" si="12">K31+L31+M31</f>
        <v>35201.800000000003</v>
      </c>
      <c r="K31" s="57">
        <v>31064.9</v>
      </c>
      <c r="L31" s="57"/>
      <c r="M31" s="57">
        <v>4136.8999999999996</v>
      </c>
      <c r="N31" s="58">
        <f t="shared" si="2"/>
        <v>0.999</v>
      </c>
    </row>
    <row r="32" spans="1:14" ht="111.75" customHeight="1">
      <c r="A32" s="38"/>
      <c r="B32" s="32" t="s">
        <v>385</v>
      </c>
      <c r="C32" s="29">
        <v>815</v>
      </c>
      <c r="D32" s="31" t="s">
        <v>58</v>
      </c>
      <c r="E32" s="29" t="s">
        <v>384</v>
      </c>
      <c r="F32" s="55">
        <f t="shared" si="11"/>
        <v>20954.599999999999</v>
      </c>
      <c r="G32" s="57">
        <f>4476.6+16470.3</f>
        <v>20946.900000000001</v>
      </c>
      <c r="H32" s="57"/>
      <c r="I32" s="57">
        <v>7.7</v>
      </c>
      <c r="J32" s="55">
        <f t="shared" si="12"/>
        <v>20953.099999999999</v>
      </c>
      <c r="K32" s="57">
        <v>20946.900000000001</v>
      </c>
      <c r="L32" s="57"/>
      <c r="M32" s="57">
        <v>6.2</v>
      </c>
      <c r="N32" s="58">
        <f t="shared" si="2"/>
        <v>1</v>
      </c>
    </row>
    <row r="33" spans="1:14" ht="194.25" customHeight="1">
      <c r="A33" s="38"/>
      <c r="B33" s="32" t="s">
        <v>228</v>
      </c>
      <c r="C33" s="29">
        <v>815</v>
      </c>
      <c r="D33" s="31" t="s">
        <v>58</v>
      </c>
      <c r="E33" s="29" t="s">
        <v>229</v>
      </c>
      <c r="F33" s="55">
        <f t="shared" si="11"/>
        <v>87704.6</v>
      </c>
      <c r="G33" s="57">
        <f>5591.4-2857.44</f>
        <v>2734</v>
      </c>
      <c r="H33" s="57">
        <f>177361.2-92390.6</f>
        <v>84970.6</v>
      </c>
      <c r="I33" s="57"/>
      <c r="J33" s="55">
        <f t="shared" si="12"/>
        <v>15746.5</v>
      </c>
      <c r="K33" s="57">
        <f>4.7+101.3+53.12+140.65+6.15+158.91+28.96+81.43</f>
        <v>575.20000000000005</v>
      </c>
      <c r="L33" s="57">
        <f>1717.4+4547.72+198.79+5138.07+936.4+2632.89</f>
        <v>15171.3</v>
      </c>
      <c r="M33" s="57"/>
      <c r="N33" s="58">
        <f t="shared" si="2"/>
        <v>0.18</v>
      </c>
    </row>
    <row r="34" spans="1:14" ht="81.75" customHeight="1">
      <c r="A34" s="38"/>
      <c r="B34" s="32" t="s">
        <v>310</v>
      </c>
      <c r="C34" s="29" t="s">
        <v>347</v>
      </c>
      <c r="D34" s="31" t="s">
        <v>20</v>
      </c>
      <c r="E34" s="29" t="s">
        <v>348</v>
      </c>
      <c r="F34" s="55">
        <f t="shared" si="11"/>
        <v>56600.1</v>
      </c>
      <c r="G34" s="57">
        <f>42112.6-11266.53</f>
        <v>30846.1</v>
      </c>
      <c r="H34" s="57"/>
      <c r="I34" s="57">
        <v>25754</v>
      </c>
      <c r="J34" s="55">
        <f t="shared" si="12"/>
        <v>56600.1</v>
      </c>
      <c r="K34" s="57">
        <v>30846.1</v>
      </c>
      <c r="L34" s="57"/>
      <c r="M34" s="57">
        <v>25754</v>
      </c>
      <c r="N34" s="58">
        <f t="shared" si="2"/>
        <v>1</v>
      </c>
    </row>
    <row r="35" spans="1:14" ht="89.25" customHeight="1">
      <c r="A35" s="38"/>
      <c r="B35" s="32" t="s">
        <v>31</v>
      </c>
      <c r="C35" s="29">
        <v>821</v>
      </c>
      <c r="D35" s="31" t="s">
        <v>20</v>
      </c>
      <c r="E35" s="29" t="s">
        <v>227</v>
      </c>
      <c r="F35" s="55">
        <f t="shared" si="11"/>
        <v>726120.6</v>
      </c>
      <c r="G35" s="57">
        <f>312568.5-26937-23008.84</f>
        <v>262622.7</v>
      </c>
      <c r="H35" s="57">
        <f>274034.6+188767.1</f>
        <v>462801.7</v>
      </c>
      <c r="I35" s="57">
        <v>696.2</v>
      </c>
      <c r="J35" s="55">
        <f t="shared" si="12"/>
        <v>720554.3</v>
      </c>
      <c r="K35" s="57">
        <f>128986.43+1426.46+2088.25+21025.17+7697.1+1372.82+98303.6</f>
        <v>260899.8</v>
      </c>
      <c r="L35" s="57">
        <f>173620.6+8499.31+2984.51+274034.6</f>
        <v>459139</v>
      </c>
      <c r="M35" s="57">
        <v>515.5</v>
      </c>
      <c r="N35" s="58">
        <f t="shared" si="2"/>
        <v>0.99199999999999999</v>
      </c>
    </row>
    <row r="36" spans="1:14" ht="89.25" customHeight="1">
      <c r="A36" s="38"/>
      <c r="B36" s="32" t="s">
        <v>389</v>
      </c>
      <c r="C36" s="29">
        <v>821</v>
      </c>
      <c r="D36" s="31" t="s">
        <v>20</v>
      </c>
      <c r="E36" s="29" t="s">
        <v>390</v>
      </c>
      <c r="F36" s="55">
        <f t="shared" si="11"/>
        <v>183505.2</v>
      </c>
      <c r="G36" s="57">
        <v>183321.7</v>
      </c>
      <c r="H36" s="57"/>
      <c r="I36" s="57">
        <v>183.5</v>
      </c>
      <c r="J36" s="55">
        <f t="shared" si="12"/>
        <v>183505.2</v>
      </c>
      <c r="K36" s="57">
        <v>183321.7</v>
      </c>
      <c r="L36" s="57"/>
      <c r="M36" s="57">
        <v>183.5</v>
      </c>
      <c r="N36" s="58">
        <f t="shared" si="2"/>
        <v>1</v>
      </c>
    </row>
    <row r="37" spans="1:14" ht="111.75" customHeight="1">
      <c r="A37" s="38"/>
      <c r="B37" s="32" t="s">
        <v>183</v>
      </c>
      <c r="C37" s="29">
        <v>839</v>
      </c>
      <c r="D37" s="31" t="s">
        <v>17</v>
      </c>
      <c r="E37" s="29" t="s">
        <v>182</v>
      </c>
      <c r="F37" s="55">
        <f t="shared" si="11"/>
        <v>4218</v>
      </c>
      <c r="G37" s="57">
        <f>362-235.14-0.32</f>
        <v>126.5</v>
      </c>
      <c r="H37" s="57">
        <f>2801.4+8903.14-7602.89-10.19</f>
        <v>4091.5</v>
      </c>
      <c r="I37" s="57"/>
      <c r="J37" s="55">
        <f t="shared" si="12"/>
        <v>4216.3999999999996</v>
      </c>
      <c r="K37" s="57">
        <f>33.3+7.4+1.65+14.49+10.22+0.99+2.18+1.39+3.32+0.05+0.72+2.79+12.12+0.49+16.56+11.3+7.52</f>
        <v>126.5</v>
      </c>
      <c r="L37" s="57">
        <f>1078.1+238+53.33+468.57+330.29+32.01+70.59+44.91+107.26+1.69+23.28+90.27+391.94+15.81+535.42+365.3+243.13</f>
        <v>4089.9</v>
      </c>
      <c r="M37" s="57"/>
      <c r="N37" s="58">
        <f t="shared" si="2"/>
        <v>1</v>
      </c>
    </row>
    <row r="38" spans="1:14" ht="88.5" customHeight="1">
      <c r="A38" s="38"/>
      <c r="B38" s="32" t="s">
        <v>185</v>
      </c>
      <c r="C38" s="29">
        <v>839</v>
      </c>
      <c r="D38" s="31" t="s">
        <v>17</v>
      </c>
      <c r="E38" s="29" t="s">
        <v>184</v>
      </c>
      <c r="F38" s="55">
        <f t="shared" si="11"/>
        <v>25.5</v>
      </c>
      <c r="G38" s="57">
        <v>0.8</v>
      </c>
      <c r="H38" s="57">
        <f>2694.7-633.93-2046.22+10.19</f>
        <v>24.7</v>
      </c>
      <c r="I38" s="57"/>
      <c r="J38" s="55">
        <f t="shared" si="12"/>
        <v>25.5</v>
      </c>
      <c r="K38" s="57">
        <f>0.3+0.45</f>
        <v>0.8</v>
      </c>
      <c r="L38" s="57">
        <v>24.7</v>
      </c>
      <c r="M38" s="57"/>
      <c r="N38" s="58">
        <f t="shared" si="2"/>
        <v>1</v>
      </c>
    </row>
    <row r="39" spans="1:14" ht="33">
      <c r="A39" s="41" t="s">
        <v>32</v>
      </c>
      <c r="B39" s="15" t="s">
        <v>33</v>
      </c>
      <c r="C39" s="6" t="s">
        <v>13</v>
      </c>
      <c r="D39" s="6" t="s">
        <v>13</v>
      </c>
      <c r="E39" s="6" t="s">
        <v>13</v>
      </c>
      <c r="F39" s="59">
        <f t="shared" ref="F39:M39" si="13">SUM(F41:F43)</f>
        <v>1664054.3</v>
      </c>
      <c r="G39" s="55">
        <f t="shared" si="13"/>
        <v>666538.80000000005</v>
      </c>
      <c r="H39" s="55">
        <f t="shared" si="13"/>
        <v>997515.5</v>
      </c>
      <c r="I39" s="55">
        <f t="shared" si="13"/>
        <v>0</v>
      </c>
      <c r="J39" s="59">
        <f t="shared" si="13"/>
        <v>1663982.2</v>
      </c>
      <c r="K39" s="55">
        <f t="shared" si="13"/>
        <v>666537.5</v>
      </c>
      <c r="L39" s="55">
        <f t="shared" si="13"/>
        <v>997444.7</v>
      </c>
      <c r="M39" s="55">
        <f t="shared" si="13"/>
        <v>0</v>
      </c>
      <c r="N39" s="56">
        <f t="shared" si="2"/>
        <v>1</v>
      </c>
    </row>
    <row r="40" spans="1:14" ht="18.75">
      <c r="A40" s="38"/>
      <c r="B40" s="28" t="s">
        <v>16</v>
      </c>
      <c r="C40" s="29"/>
      <c r="D40" s="31"/>
      <c r="E40" s="29"/>
      <c r="F40" s="55"/>
      <c r="G40" s="55"/>
      <c r="H40" s="55"/>
      <c r="I40" s="55"/>
      <c r="J40" s="55"/>
      <c r="K40" s="55"/>
      <c r="L40" s="55"/>
      <c r="M40" s="55"/>
      <c r="N40" s="56"/>
    </row>
    <row r="41" spans="1:14" ht="33">
      <c r="A41" s="38"/>
      <c r="B41" s="32" t="s">
        <v>34</v>
      </c>
      <c r="C41" s="29">
        <v>809</v>
      </c>
      <c r="D41" s="31" t="s">
        <v>22</v>
      </c>
      <c r="E41" s="29" t="s">
        <v>235</v>
      </c>
      <c r="F41" s="55">
        <f>G41+H41+I41</f>
        <v>922320.1</v>
      </c>
      <c r="G41" s="57"/>
      <c r="H41" s="57">
        <f>909750.3+12569.77</f>
        <v>922320.1</v>
      </c>
      <c r="I41" s="57"/>
      <c r="J41" s="55">
        <f>K41+L41+M41</f>
        <v>922255.6</v>
      </c>
      <c r="K41" s="57"/>
      <c r="L41" s="57">
        <f>158990.4+6845.23+75208.43+3013.9+264.48+72811.53+222.12+78118.45+216.62+78571.2-23.15+1002.78+80561.45+133.08+553.67+334.97+84412.99+2913.98-47.08+80387.26+4251.31+260.24+40.07+91260.45+7680.12+90504.36+3766.77</f>
        <v>922255.6</v>
      </c>
      <c r="M41" s="57"/>
      <c r="N41" s="58">
        <f t="shared" si="2"/>
        <v>1</v>
      </c>
    </row>
    <row r="42" spans="1:14" ht="75" customHeight="1">
      <c r="A42" s="38"/>
      <c r="B42" s="32" t="s">
        <v>35</v>
      </c>
      <c r="C42" s="29">
        <v>809</v>
      </c>
      <c r="D42" s="31" t="s">
        <v>22</v>
      </c>
      <c r="E42" s="29" t="s">
        <v>276</v>
      </c>
      <c r="F42" s="55">
        <f>G42+H42+I42</f>
        <v>651137.30000000005</v>
      </c>
      <c r="G42" s="57">
        <f>749050.4-140000+39714.88-5000-4000+11372.05</f>
        <v>651137.30000000005</v>
      </c>
      <c r="H42" s="57"/>
      <c r="I42" s="57"/>
      <c r="J42" s="55">
        <f>K42+L42+M42</f>
        <v>651137.30000000005</v>
      </c>
      <c r="K42" s="57">
        <v>651137.30000000005</v>
      </c>
      <c r="L42" s="57"/>
      <c r="M42" s="57"/>
      <c r="N42" s="58">
        <f t="shared" si="2"/>
        <v>1</v>
      </c>
    </row>
    <row r="43" spans="1:14" ht="75" customHeight="1">
      <c r="A43" s="38"/>
      <c r="B43" s="32" t="s">
        <v>35</v>
      </c>
      <c r="C43" s="29">
        <v>809</v>
      </c>
      <c r="D43" s="31" t="s">
        <v>22</v>
      </c>
      <c r="E43" s="29" t="s">
        <v>234</v>
      </c>
      <c r="F43" s="55">
        <f t="shared" ref="F43" si="14">G43+H43+I43</f>
        <v>90596.9</v>
      </c>
      <c r="G43" s="57">
        <f>27116.4-11714.88-0.05</f>
        <v>15401.5</v>
      </c>
      <c r="H43" s="57">
        <f>132391.6-57196.2</f>
        <v>75195.399999999994</v>
      </c>
      <c r="I43" s="57"/>
      <c r="J43" s="55">
        <f t="shared" ref="J43" si="15">K43+L43+M43</f>
        <v>90589.3</v>
      </c>
      <c r="K43" s="57">
        <f>9684.3+3304.67+2402.97+8.21</f>
        <v>15400.2</v>
      </c>
      <c r="L43" s="57">
        <f>22651.59+7700.83+118.06+31.62+15615.33+541.7+623.05+16134.66+11732.17+40.09</f>
        <v>75189.100000000006</v>
      </c>
      <c r="M43" s="57"/>
      <c r="N43" s="58">
        <f t="shared" si="2"/>
        <v>1</v>
      </c>
    </row>
    <row r="44" spans="1:14" ht="18.75">
      <c r="A44" s="45" t="s">
        <v>36</v>
      </c>
      <c r="B44" s="65" t="s">
        <v>37</v>
      </c>
      <c r="C44" s="1" t="s">
        <v>13</v>
      </c>
      <c r="D44" s="1" t="s">
        <v>13</v>
      </c>
      <c r="E44" s="1" t="s">
        <v>13</v>
      </c>
      <c r="F44" s="53">
        <f t="shared" ref="F44:M44" si="16">F45+F50+F54+F57+F60</f>
        <v>2734105.3</v>
      </c>
      <c r="G44" s="53">
        <f t="shared" si="16"/>
        <v>474847.5</v>
      </c>
      <c r="H44" s="53">
        <f t="shared" si="16"/>
        <v>2259257.7999999998</v>
      </c>
      <c r="I44" s="53">
        <f t="shared" si="16"/>
        <v>0</v>
      </c>
      <c r="J44" s="53">
        <f t="shared" si="16"/>
        <v>1932531.7</v>
      </c>
      <c r="K44" s="53">
        <f t="shared" si="16"/>
        <v>348011</v>
      </c>
      <c r="L44" s="53">
        <f t="shared" si="16"/>
        <v>1584520.7</v>
      </c>
      <c r="M44" s="53">
        <f t="shared" si="16"/>
        <v>0</v>
      </c>
      <c r="N44" s="54">
        <f t="shared" si="2"/>
        <v>0.70699999999999996</v>
      </c>
    </row>
    <row r="45" spans="1:14" ht="49.5">
      <c r="A45" s="38" t="s">
        <v>38</v>
      </c>
      <c r="B45" s="64" t="s">
        <v>39</v>
      </c>
      <c r="C45" s="27" t="s">
        <v>13</v>
      </c>
      <c r="D45" s="27" t="s">
        <v>13</v>
      </c>
      <c r="E45" s="27" t="s">
        <v>13</v>
      </c>
      <c r="F45" s="55">
        <f t="shared" ref="F45:M45" si="17">SUM(F47:F49)</f>
        <v>381563.8</v>
      </c>
      <c r="G45" s="55">
        <f t="shared" si="17"/>
        <v>214710.39999999999</v>
      </c>
      <c r="H45" s="55">
        <f t="shared" si="17"/>
        <v>166853.4</v>
      </c>
      <c r="I45" s="55">
        <f t="shared" si="17"/>
        <v>0</v>
      </c>
      <c r="J45" s="55">
        <f t="shared" si="17"/>
        <v>381456.5</v>
      </c>
      <c r="K45" s="55">
        <f t="shared" si="17"/>
        <v>214710.39999999999</v>
      </c>
      <c r="L45" s="55">
        <f t="shared" si="17"/>
        <v>166746.1</v>
      </c>
      <c r="M45" s="55">
        <f t="shared" si="17"/>
        <v>0</v>
      </c>
      <c r="N45" s="56">
        <f t="shared" si="2"/>
        <v>1</v>
      </c>
    </row>
    <row r="46" spans="1:14" ht="18.75">
      <c r="A46" s="44"/>
      <c r="B46" s="28" t="s">
        <v>16</v>
      </c>
      <c r="C46" s="29"/>
      <c r="D46" s="29"/>
      <c r="E46" s="29"/>
      <c r="F46" s="55"/>
      <c r="G46" s="55"/>
      <c r="H46" s="55"/>
      <c r="I46" s="55"/>
      <c r="J46" s="55"/>
      <c r="K46" s="55"/>
      <c r="L46" s="55"/>
      <c r="M46" s="55"/>
      <c r="N46" s="56"/>
    </row>
    <row r="47" spans="1:14" ht="77.25" customHeight="1">
      <c r="A47" s="44"/>
      <c r="B47" s="32" t="s">
        <v>40</v>
      </c>
      <c r="C47" s="29">
        <v>811</v>
      </c>
      <c r="D47" s="31" t="s">
        <v>18</v>
      </c>
      <c r="E47" s="29" t="s">
        <v>192</v>
      </c>
      <c r="F47" s="55">
        <f t="shared" ref="F47:F49" si="18">G47+H47+I47</f>
        <v>48897</v>
      </c>
      <c r="G47" s="57"/>
      <c r="H47" s="57">
        <v>48897</v>
      </c>
      <c r="I47" s="57"/>
      <c r="J47" s="55">
        <f t="shared" ref="J47:J49" si="19">K47+L47+M47</f>
        <v>48789.7</v>
      </c>
      <c r="K47" s="57"/>
      <c r="L47" s="57">
        <f>13760+6880+7691.14+7698.86+11511+1248.66</f>
        <v>48789.7</v>
      </c>
      <c r="M47" s="57"/>
      <c r="N47" s="58">
        <f t="shared" si="2"/>
        <v>0.998</v>
      </c>
    </row>
    <row r="48" spans="1:14" ht="36.75" customHeight="1">
      <c r="A48" s="44"/>
      <c r="B48" s="32" t="s">
        <v>42</v>
      </c>
      <c r="C48" s="29">
        <v>811</v>
      </c>
      <c r="D48" s="31" t="s">
        <v>18</v>
      </c>
      <c r="E48" s="29" t="s">
        <v>277</v>
      </c>
      <c r="F48" s="55">
        <f t="shared" si="18"/>
        <v>162666.79999999999</v>
      </c>
      <c r="G48" s="57">
        <f>52059.8+110607</f>
        <v>162666.79999999999</v>
      </c>
      <c r="H48" s="57"/>
      <c r="I48" s="57"/>
      <c r="J48" s="55">
        <f t="shared" si="19"/>
        <v>162666.79999999999</v>
      </c>
      <c r="K48" s="57">
        <f>4732.7+4732.71+4732.71+4732.71+4732.7+9465.42+4732.71+4732.71+60036.21+60036.21</f>
        <v>162666.79999999999</v>
      </c>
      <c r="L48" s="57"/>
      <c r="M48" s="57"/>
      <c r="N48" s="58">
        <f t="shared" si="2"/>
        <v>1</v>
      </c>
    </row>
    <row r="49" spans="1:14" ht="69.75" customHeight="1">
      <c r="A49" s="44"/>
      <c r="B49" s="32" t="s">
        <v>41</v>
      </c>
      <c r="C49" s="29">
        <v>811</v>
      </c>
      <c r="D49" s="31" t="s">
        <v>18</v>
      </c>
      <c r="E49" s="29" t="s">
        <v>193</v>
      </c>
      <c r="F49" s="55">
        <f t="shared" si="18"/>
        <v>170000</v>
      </c>
      <c r="G49" s="57">
        <v>52043.6</v>
      </c>
      <c r="H49" s="57">
        <v>117956.4</v>
      </c>
      <c r="I49" s="57"/>
      <c r="J49" s="55">
        <f t="shared" si="19"/>
        <v>170000</v>
      </c>
      <c r="K49" s="57">
        <f>7041.2+7041.19+6428.92+7653.47+7041.19+7041.2+7041.19+2755.25</f>
        <v>52043.6</v>
      </c>
      <c r="L49" s="57">
        <f>31917.6+14571.08+17346.53+15958.81+15958.8+15958.81+6244.75</f>
        <v>117956.4</v>
      </c>
      <c r="M49" s="57"/>
      <c r="N49" s="58">
        <f t="shared" si="2"/>
        <v>1</v>
      </c>
    </row>
    <row r="50" spans="1:14" ht="33">
      <c r="A50" s="38" t="s">
        <v>43</v>
      </c>
      <c r="B50" s="26" t="s">
        <v>44</v>
      </c>
      <c r="C50" s="27" t="s">
        <v>13</v>
      </c>
      <c r="D50" s="27" t="s">
        <v>13</v>
      </c>
      <c r="E50" s="27" t="s">
        <v>13</v>
      </c>
      <c r="F50" s="55">
        <f t="shared" ref="F50:M50" si="20">SUM(F52:F53)</f>
        <v>128607</v>
      </c>
      <c r="G50" s="55">
        <f t="shared" si="20"/>
        <v>1130.2</v>
      </c>
      <c r="H50" s="55">
        <f t="shared" si="20"/>
        <v>127476.8</v>
      </c>
      <c r="I50" s="55">
        <f t="shared" si="20"/>
        <v>0</v>
      </c>
      <c r="J50" s="55">
        <f t="shared" si="20"/>
        <v>128548.3</v>
      </c>
      <c r="K50" s="55">
        <f t="shared" si="20"/>
        <v>1130.2</v>
      </c>
      <c r="L50" s="55">
        <f t="shared" si="20"/>
        <v>127418.1</v>
      </c>
      <c r="M50" s="55">
        <f t="shared" si="20"/>
        <v>0</v>
      </c>
      <c r="N50" s="56">
        <f t="shared" ref="N50:N103" si="21">J50/F50</f>
        <v>1</v>
      </c>
    </row>
    <row r="51" spans="1:14" ht="18.75">
      <c r="A51" s="44"/>
      <c r="B51" s="28" t="s">
        <v>16</v>
      </c>
      <c r="C51" s="29"/>
      <c r="D51" s="29"/>
      <c r="E51" s="29"/>
      <c r="F51" s="55"/>
      <c r="G51" s="55"/>
      <c r="H51" s="55"/>
      <c r="I51" s="55"/>
      <c r="J51" s="55"/>
      <c r="K51" s="55"/>
      <c r="L51" s="55"/>
      <c r="M51" s="55"/>
      <c r="N51" s="56"/>
    </row>
    <row r="52" spans="1:14" s="9" customFormat="1" ht="49.5">
      <c r="A52" s="46"/>
      <c r="B52" s="35" t="s">
        <v>45</v>
      </c>
      <c r="C52" s="36">
        <v>811</v>
      </c>
      <c r="D52" s="37" t="s">
        <v>18</v>
      </c>
      <c r="E52" s="36" t="s">
        <v>194</v>
      </c>
      <c r="F52" s="55">
        <f>G52+H52+I52</f>
        <v>90936.5</v>
      </c>
      <c r="G52" s="60"/>
      <c r="H52" s="60">
        <v>90936.5</v>
      </c>
      <c r="I52" s="60"/>
      <c r="J52" s="55">
        <f>K52+L52+M52</f>
        <v>90877.8</v>
      </c>
      <c r="K52" s="60"/>
      <c r="L52" s="60">
        <f>33200+1303.75+96.82+3343.4+260+1700+1931.57+32300+16742.27</f>
        <v>90877.8</v>
      </c>
      <c r="M52" s="60"/>
      <c r="N52" s="61">
        <f t="shared" si="21"/>
        <v>0.999</v>
      </c>
    </row>
    <row r="53" spans="1:14" s="9" customFormat="1" ht="81" customHeight="1">
      <c r="A53" s="46"/>
      <c r="B53" s="35" t="s">
        <v>196</v>
      </c>
      <c r="C53" s="36">
        <v>811</v>
      </c>
      <c r="D53" s="37" t="s">
        <v>18</v>
      </c>
      <c r="E53" s="36" t="s">
        <v>195</v>
      </c>
      <c r="F53" s="55">
        <f>G53+H53+I53</f>
        <v>37670.5</v>
      </c>
      <c r="G53" s="60">
        <v>1130.2</v>
      </c>
      <c r="H53" s="60">
        <v>36540.300000000003</v>
      </c>
      <c r="I53" s="60"/>
      <c r="J53" s="55">
        <f>K53+L53+M53</f>
        <v>37670.5</v>
      </c>
      <c r="K53" s="60">
        <f>61.4+326+18.01+36.52+31.78+155.94+144.74+63.74+175.38+72.8+6.63+37.21</f>
        <v>1130.2</v>
      </c>
      <c r="L53" s="60">
        <f>20359+4679.66+2060.71+5670.14+2353.57+214.24+1203</f>
        <v>36540.300000000003</v>
      </c>
      <c r="M53" s="60"/>
      <c r="N53" s="61">
        <f t="shared" si="21"/>
        <v>1</v>
      </c>
    </row>
    <row r="54" spans="1:14" ht="66">
      <c r="A54" s="41" t="s">
        <v>46</v>
      </c>
      <c r="B54" s="15" t="s">
        <v>47</v>
      </c>
      <c r="C54" s="6" t="s">
        <v>13</v>
      </c>
      <c r="D54" s="6" t="s">
        <v>13</v>
      </c>
      <c r="E54" s="6" t="s">
        <v>13</v>
      </c>
      <c r="F54" s="59">
        <f t="shared" ref="F54:M54" si="22">SUM(F56:F56)</f>
        <v>105137</v>
      </c>
      <c r="G54" s="55">
        <f t="shared" si="22"/>
        <v>17873.3</v>
      </c>
      <c r="H54" s="55">
        <f t="shared" si="22"/>
        <v>87263.7</v>
      </c>
      <c r="I54" s="55">
        <f t="shared" si="22"/>
        <v>0</v>
      </c>
      <c r="J54" s="59">
        <f t="shared" si="22"/>
        <v>105135.9</v>
      </c>
      <c r="K54" s="55">
        <f t="shared" si="22"/>
        <v>17873.099999999999</v>
      </c>
      <c r="L54" s="55">
        <f t="shared" si="22"/>
        <v>87262.8</v>
      </c>
      <c r="M54" s="55">
        <f t="shared" si="22"/>
        <v>0</v>
      </c>
      <c r="N54" s="56">
        <f t="shared" si="21"/>
        <v>1</v>
      </c>
    </row>
    <row r="55" spans="1:14" ht="18.75">
      <c r="A55" s="42"/>
      <c r="B55" s="16" t="s">
        <v>16</v>
      </c>
      <c r="C55" s="7"/>
      <c r="D55" s="7"/>
      <c r="E55" s="7"/>
      <c r="F55" s="59"/>
      <c r="G55" s="55"/>
      <c r="H55" s="55"/>
      <c r="I55" s="55"/>
      <c r="J55" s="59"/>
      <c r="K55" s="55"/>
      <c r="L55" s="55"/>
      <c r="M55" s="55"/>
      <c r="N55" s="56"/>
    </row>
    <row r="56" spans="1:14" ht="82.5">
      <c r="A56" s="42"/>
      <c r="B56" s="17" t="s">
        <v>48</v>
      </c>
      <c r="C56" s="7">
        <v>811</v>
      </c>
      <c r="D56" s="8" t="s">
        <v>18</v>
      </c>
      <c r="E56" s="7" t="s">
        <v>200</v>
      </c>
      <c r="F56" s="59">
        <f t="shared" ref="F56" si="23">G56+H56+I56</f>
        <v>105137</v>
      </c>
      <c r="G56" s="57">
        <f>17629.8+243.5</f>
        <v>17873.3</v>
      </c>
      <c r="H56" s="57">
        <f>87263.7</f>
        <v>87263.7</v>
      </c>
      <c r="I56" s="57"/>
      <c r="J56" s="59">
        <f>K56+L56+M56</f>
        <v>105135.9</v>
      </c>
      <c r="K56" s="57">
        <f>2363+2363+4726+2955.03+67.78+63.5+2322.92+574.84+2363+26.01+27.88+20.16</f>
        <v>17873.099999999999</v>
      </c>
      <c r="L56" s="57">
        <f>11537+11537+23074+14427.47+330.93+310.04+11341.28+2806.58+11537+126.99+136.12+98.42</f>
        <v>87262.8</v>
      </c>
      <c r="M56" s="57"/>
      <c r="N56" s="58">
        <f t="shared" si="21"/>
        <v>1</v>
      </c>
    </row>
    <row r="57" spans="1:14" s="47" customFormat="1" ht="82.5">
      <c r="A57" s="38" t="s">
        <v>49</v>
      </c>
      <c r="B57" s="26" t="s">
        <v>50</v>
      </c>
      <c r="C57" s="27" t="s">
        <v>13</v>
      </c>
      <c r="D57" s="27" t="s">
        <v>13</v>
      </c>
      <c r="E57" s="27" t="s">
        <v>13</v>
      </c>
      <c r="F57" s="55">
        <f t="shared" ref="F57:M57" si="24">SUM(F59:F59)</f>
        <v>398018.5</v>
      </c>
      <c r="G57" s="55">
        <f t="shared" si="24"/>
        <v>17900.099999999999</v>
      </c>
      <c r="H57" s="55">
        <f t="shared" si="24"/>
        <v>380118.4</v>
      </c>
      <c r="I57" s="55">
        <f t="shared" si="24"/>
        <v>0</v>
      </c>
      <c r="J57" s="55">
        <f t="shared" si="24"/>
        <v>310465.90000000002</v>
      </c>
      <c r="K57" s="55">
        <f t="shared" si="24"/>
        <v>13962.6</v>
      </c>
      <c r="L57" s="55">
        <f t="shared" si="24"/>
        <v>296503.3</v>
      </c>
      <c r="M57" s="55">
        <f t="shared" si="24"/>
        <v>0</v>
      </c>
      <c r="N57" s="56">
        <f t="shared" si="21"/>
        <v>0.78</v>
      </c>
    </row>
    <row r="58" spans="1:14" ht="18.75">
      <c r="A58" s="44"/>
      <c r="B58" s="28" t="s">
        <v>16</v>
      </c>
      <c r="C58" s="29"/>
      <c r="D58" s="29"/>
      <c r="E58" s="29"/>
      <c r="F58" s="55"/>
      <c r="G58" s="55"/>
      <c r="H58" s="55"/>
      <c r="I58" s="55"/>
      <c r="J58" s="55"/>
      <c r="K58" s="55"/>
      <c r="L58" s="55"/>
      <c r="M58" s="55"/>
      <c r="N58" s="56"/>
    </row>
    <row r="59" spans="1:14" ht="66">
      <c r="A59" s="44"/>
      <c r="B59" s="32" t="s">
        <v>51</v>
      </c>
      <c r="C59" s="29">
        <v>811</v>
      </c>
      <c r="D59" s="31" t="s">
        <v>18</v>
      </c>
      <c r="E59" s="29" t="s">
        <v>201</v>
      </c>
      <c r="F59" s="55">
        <f>G59+H59+I59</f>
        <v>398018.5</v>
      </c>
      <c r="G59" s="57">
        <f>17790+110.09</f>
        <v>17900.099999999999</v>
      </c>
      <c r="H59" s="57">
        <f>379423+695.4</f>
        <v>380118.4</v>
      </c>
      <c r="I59" s="57"/>
      <c r="J59" s="55">
        <f>K59+L59+M59</f>
        <v>310465.90000000002</v>
      </c>
      <c r="K59" s="57">
        <v>13962.6</v>
      </c>
      <c r="L59" s="57">
        <f>81478.1+128236.77+21563.4+65225.01</f>
        <v>296503.3</v>
      </c>
      <c r="M59" s="57"/>
      <c r="N59" s="58">
        <f t="shared" si="21"/>
        <v>0.78</v>
      </c>
    </row>
    <row r="60" spans="1:14" s="47" customFormat="1" ht="33">
      <c r="A60" s="33" t="s">
        <v>52</v>
      </c>
      <c r="B60" s="26" t="s">
        <v>53</v>
      </c>
      <c r="C60" s="27" t="s">
        <v>13</v>
      </c>
      <c r="D60" s="27" t="s">
        <v>13</v>
      </c>
      <c r="E60" s="27" t="s">
        <v>13</v>
      </c>
      <c r="F60" s="55">
        <f>SUM(F62:F64)</f>
        <v>1720779</v>
      </c>
      <c r="G60" s="55">
        <f t="shared" ref="G60:M60" si="25">SUM(G62:G64)</f>
        <v>223233.5</v>
      </c>
      <c r="H60" s="55">
        <f t="shared" si="25"/>
        <v>1497545.5</v>
      </c>
      <c r="I60" s="55">
        <f t="shared" si="25"/>
        <v>0</v>
      </c>
      <c r="J60" s="55">
        <f t="shared" si="25"/>
        <v>1006925.1</v>
      </c>
      <c r="K60" s="55">
        <f t="shared" si="25"/>
        <v>100334.7</v>
      </c>
      <c r="L60" s="55">
        <f t="shared" si="25"/>
        <v>906590.4</v>
      </c>
      <c r="M60" s="55">
        <f t="shared" si="25"/>
        <v>0</v>
      </c>
      <c r="N60" s="56">
        <f t="shared" si="21"/>
        <v>0.58499999999999996</v>
      </c>
    </row>
    <row r="61" spans="1:14" ht="18.75">
      <c r="A61" s="42"/>
      <c r="B61" s="16" t="s">
        <v>16</v>
      </c>
      <c r="C61" s="7"/>
      <c r="D61" s="7"/>
      <c r="E61" s="7"/>
      <c r="F61" s="59"/>
      <c r="G61" s="55"/>
      <c r="H61" s="55"/>
      <c r="I61" s="55"/>
      <c r="J61" s="59"/>
      <c r="K61" s="55"/>
      <c r="L61" s="55"/>
      <c r="M61" s="55"/>
      <c r="N61" s="56"/>
    </row>
    <row r="62" spans="1:14" ht="56.25" customHeight="1">
      <c r="A62" s="41"/>
      <c r="B62" s="17" t="s">
        <v>197</v>
      </c>
      <c r="C62" s="7">
        <v>811</v>
      </c>
      <c r="D62" s="8" t="s">
        <v>18</v>
      </c>
      <c r="E62" s="7" t="s">
        <v>198</v>
      </c>
      <c r="F62" s="59">
        <f>G62+H62+I62</f>
        <v>438102.8</v>
      </c>
      <c r="G62" s="57"/>
      <c r="H62" s="57">
        <v>438102.8</v>
      </c>
      <c r="I62" s="57"/>
      <c r="J62" s="59">
        <f>K62+L62+M62</f>
        <v>434762.7</v>
      </c>
      <c r="K62" s="57"/>
      <c r="L62" s="57">
        <f>5618+18649.7+16780.71+393714.28</f>
        <v>434762.7</v>
      </c>
      <c r="M62" s="57"/>
      <c r="N62" s="58">
        <f t="shared" si="21"/>
        <v>0.99199999999999999</v>
      </c>
    </row>
    <row r="63" spans="1:14" ht="75.75" customHeight="1">
      <c r="A63" s="41"/>
      <c r="B63" s="17" t="s">
        <v>327</v>
      </c>
      <c r="C63" s="7">
        <v>821</v>
      </c>
      <c r="D63" s="8" t="s">
        <v>20</v>
      </c>
      <c r="E63" s="7" t="s">
        <v>199</v>
      </c>
      <c r="F63" s="59">
        <f>G63+H63+I63</f>
        <v>1280863.3</v>
      </c>
      <c r="G63" s="57">
        <f>202067.8+21155.23+10.49-1812.9</f>
        <v>221420.6</v>
      </c>
      <c r="H63" s="57">
        <f>957485+101957.7</f>
        <v>1059442.7</v>
      </c>
      <c r="I63" s="57"/>
      <c r="J63" s="59">
        <f>K63+L63+M63</f>
        <v>570350.5</v>
      </c>
      <c r="K63" s="57">
        <f>98522.8</f>
        <v>98522.8</v>
      </c>
      <c r="L63" s="57">
        <f>126584.4+15874.95+500.29+9492.08+8531.59+4419.52+29328.78+277096.13</f>
        <v>471827.7</v>
      </c>
      <c r="M63" s="57"/>
      <c r="N63" s="58">
        <f t="shared" si="21"/>
        <v>0.44500000000000001</v>
      </c>
    </row>
    <row r="64" spans="1:14" ht="33">
      <c r="A64" s="41"/>
      <c r="B64" s="17" t="s">
        <v>368</v>
      </c>
      <c r="C64" s="7">
        <v>821</v>
      </c>
      <c r="D64" s="8" t="s">
        <v>20</v>
      </c>
      <c r="E64" s="7" t="s">
        <v>369</v>
      </c>
      <c r="F64" s="59">
        <f>G64+H64+I64</f>
        <v>1812.9</v>
      </c>
      <c r="G64" s="57">
        <f>1812.9</f>
        <v>1812.9</v>
      </c>
      <c r="H64" s="57"/>
      <c r="I64" s="57"/>
      <c r="J64" s="59">
        <f>K64+L64+M64</f>
        <v>1811.9</v>
      </c>
      <c r="K64" s="57">
        <f>881.2+440.59+490.15</f>
        <v>1811.9</v>
      </c>
      <c r="L64" s="57"/>
      <c r="M64" s="57"/>
      <c r="N64" s="58">
        <f t="shared" si="21"/>
        <v>0.999</v>
      </c>
    </row>
    <row r="65" spans="1:14" ht="18.75">
      <c r="A65" s="43" t="s">
        <v>54</v>
      </c>
      <c r="B65" s="21" t="s">
        <v>55</v>
      </c>
      <c r="C65" s="1" t="s">
        <v>13</v>
      </c>
      <c r="D65" s="1" t="s">
        <v>13</v>
      </c>
      <c r="E65" s="1" t="s">
        <v>13</v>
      </c>
      <c r="F65" s="53">
        <f t="shared" ref="F65:M65" si="26">F66+F75+F83+F93+F101+F104+F107</f>
        <v>1768061.5</v>
      </c>
      <c r="G65" s="53">
        <f t="shared" si="26"/>
        <v>1302771.5</v>
      </c>
      <c r="H65" s="53">
        <f t="shared" si="26"/>
        <v>424393.9</v>
      </c>
      <c r="I65" s="53">
        <f t="shared" si="26"/>
        <v>40896.1</v>
      </c>
      <c r="J65" s="53">
        <f t="shared" si="26"/>
        <v>1717445.7</v>
      </c>
      <c r="K65" s="53">
        <f t="shared" si="26"/>
        <v>1299495</v>
      </c>
      <c r="L65" s="53">
        <f t="shared" si="26"/>
        <v>377752.1</v>
      </c>
      <c r="M65" s="53">
        <f t="shared" si="26"/>
        <v>40198.6</v>
      </c>
      <c r="N65" s="54">
        <f t="shared" si="21"/>
        <v>0.97099999999999997</v>
      </c>
    </row>
    <row r="66" spans="1:14" ht="33">
      <c r="A66" s="41" t="s">
        <v>56</v>
      </c>
      <c r="B66" s="26" t="s">
        <v>57</v>
      </c>
      <c r="C66" s="6" t="s">
        <v>13</v>
      </c>
      <c r="D66" s="6" t="s">
        <v>13</v>
      </c>
      <c r="E66" s="6" t="s">
        <v>13</v>
      </c>
      <c r="F66" s="59">
        <f t="shared" ref="F66:M66" si="27">SUM(F68:F74)</f>
        <v>1308119.8</v>
      </c>
      <c r="G66" s="55">
        <f t="shared" si="27"/>
        <v>1126594.3</v>
      </c>
      <c r="H66" s="55">
        <f t="shared" si="27"/>
        <v>140642.20000000001</v>
      </c>
      <c r="I66" s="55">
        <f t="shared" si="27"/>
        <v>40883.300000000003</v>
      </c>
      <c r="J66" s="59">
        <f t="shared" si="27"/>
        <v>1262106.7</v>
      </c>
      <c r="K66" s="55">
        <f t="shared" si="27"/>
        <v>1125234.8999999999</v>
      </c>
      <c r="L66" s="55">
        <f t="shared" si="27"/>
        <v>96686</v>
      </c>
      <c r="M66" s="55">
        <f t="shared" si="27"/>
        <v>40185.800000000003</v>
      </c>
      <c r="N66" s="56">
        <f t="shared" si="21"/>
        <v>0.96499999999999997</v>
      </c>
    </row>
    <row r="67" spans="1:14" ht="18.75">
      <c r="A67" s="44"/>
      <c r="B67" s="28" t="s">
        <v>16</v>
      </c>
      <c r="C67" s="29"/>
      <c r="D67" s="29"/>
      <c r="E67" s="29"/>
      <c r="F67" s="55"/>
      <c r="G67" s="55"/>
      <c r="H67" s="55"/>
      <c r="I67" s="55"/>
      <c r="J67" s="55"/>
      <c r="K67" s="55"/>
      <c r="L67" s="55"/>
      <c r="M67" s="55"/>
      <c r="N67" s="56"/>
    </row>
    <row r="68" spans="1:14" ht="111" customHeight="1">
      <c r="A68" s="44"/>
      <c r="B68" s="32" t="s">
        <v>213</v>
      </c>
      <c r="C68" s="29">
        <v>815</v>
      </c>
      <c r="D68" s="31" t="s">
        <v>58</v>
      </c>
      <c r="E68" s="39" t="s">
        <v>214</v>
      </c>
      <c r="F68" s="55">
        <f t="shared" ref="F68:F74" si="28">G68+H68+I68</f>
        <v>32436.6</v>
      </c>
      <c r="G68" s="57">
        <f>973.22-0.12</f>
        <v>973.1</v>
      </c>
      <c r="H68" s="57">
        <f>31463.5</f>
        <v>31463.5</v>
      </c>
      <c r="I68" s="57"/>
      <c r="J68" s="55">
        <f t="shared" ref="J68:J74" si="29">K68+L68+M68</f>
        <v>32426.400000000001</v>
      </c>
      <c r="K68" s="57">
        <f>2+1.18+234.16+71.93+10.96+4.6+14.34+49.43+23.98+10.53+36.88+37.55+1.68+262.78+89.69+74.91+15.95+30.21</f>
        <v>972.8</v>
      </c>
      <c r="L68" s="57">
        <f>10001.1+354.4+148.66+463.74+1598.16+775.22+340.55+1192.52+1214.26+54.33+8496.46+2899.82+2422+515.73+976.66</f>
        <v>31453.599999999999</v>
      </c>
      <c r="M68" s="57"/>
      <c r="N68" s="58">
        <f t="shared" si="21"/>
        <v>1</v>
      </c>
    </row>
    <row r="69" spans="1:14" ht="82.5">
      <c r="A69" s="44"/>
      <c r="B69" s="32" t="s">
        <v>215</v>
      </c>
      <c r="C69" s="29">
        <v>815</v>
      </c>
      <c r="D69" s="31" t="s">
        <v>58</v>
      </c>
      <c r="E69" s="39" t="s">
        <v>216</v>
      </c>
      <c r="F69" s="55">
        <f t="shared" si="28"/>
        <v>19298.5</v>
      </c>
      <c r="G69" s="57">
        <f>6493.4-70.14-0.54</f>
        <v>6422.7</v>
      </c>
      <c r="H69" s="57">
        <f>12893.3-17.47</f>
        <v>12875.8</v>
      </c>
      <c r="I69" s="57"/>
      <c r="J69" s="55">
        <f t="shared" si="29"/>
        <v>19298.599999999999</v>
      </c>
      <c r="K69" s="57">
        <f>4470.9+20.12+567.43+1364.26</f>
        <v>6422.7</v>
      </c>
      <c r="L69" s="57">
        <f>1532.9+662.79+3499+1135.24+2579.73+1466.37+120.9+396.67+1274.12+208.16</f>
        <v>12875.9</v>
      </c>
      <c r="M69" s="57"/>
      <c r="N69" s="58">
        <f t="shared" si="21"/>
        <v>1</v>
      </c>
    </row>
    <row r="70" spans="1:14" ht="75" customHeight="1">
      <c r="A70" s="44"/>
      <c r="B70" s="32" t="s">
        <v>165</v>
      </c>
      <c r="C70" s="29">
        <v>821</v>
      </c>
      <c r="D70" s="31" t="s">
        <v>20</v>
      </c>
      <c r="E70" s="39" t="s">
        <v>312</v>
      </c>
      <c r="F70" s="55">
        <f t="shared" si="28"/>
        <v>359588.3</v>
      </c>
      <c r="G70" s="57">
        <f>307301.8-25729.1-13780.5-3440.75-2123.63</f>
        <v>262227.8</v>
      </c>
      <c r="H70" s="57">
        <v>96302.9</v>
      </c>
      <c r="I70" s="57">
        <v>1057.5999999999999</v>
      </c>
      <c r="J70" s="55">
        <f t="shared" si="29"/>
        <v>313598.90000000002</v>
      </c>
      <c r="K70" s="57">
        <f>93.4+116.79+261373.01+230.93+413.72+278.15-1935.05+297.73</f>
        <v>260868.7</v>
      </c>
      <c r="L70" s="57">
        <f>3018.8+3776.21+7466.87+13377.07+8993.52+6097.36+9626.66</f>
        <v>52356.5</v>
      </c>
      <c r="M70" s="57">
        <v>373.7</v>
      </c>
      <c r="N70" s="58">
        <f t="shared" si="21"/>
        <v>0.872</v>
      </c>
    </row>
    <row r="71" spans="1:14" ht="44.25" customHeight="1">
      <c r="A71" s="44"/>
      <c r="B71" s="32" t="s">
        <v>346</v>
      </c>
      <c r="C71" s="29">
        <v>821</v>
      </c>
      <c r="D71" s="31" t="s">
        <v>20</v>
      </c>
      <c r="E71" s="39" t="s">
        <v>345</v>
      </c>
      <c r="F71" s="55">
        <f t="shared" si="28"/>
        <v>17428.599999999999</v>
      </c>
      <c r="G71" s="57">
        <v>17221.2</v>
      </c>
      <c r="H71" s="57"/>
      <c r="I71" s="57">
        <v>207.4</v>
      </c>
      <c r="J71" s="55">
        <f t="shared" si="29"/>
        <v>17415.099999999999</v>
      </c>
      <c r="K71" s="57">
        <v>17221.2</v>
      </c>
      <c r="L71" s="57"/>
      <c r="M71" s="57">
        <v>193.9</v>
      </c>
      <c r="N71" s="58">
        <f t="shared" si="21"/>
        <v>0.999</v>
      </c>
    </row>
    <row r="72" spans="1:14" ht="41.25" customHeight="1">
      <c r="A72" s="44"/>
      <c r="B72" s="32" t="s">
        <v>166</v>
      </c>
      <c r="C72" s="29">
        <v>821</v>
      </c>
      <c r="D72" s="31" t="s">
        <v>20</v>
      </c>
      <c r="E72" s="39" t="s">
        <v>217</v>
      </c>
      <c r="F72" s="55">
        <f t="shared" si="28"/>
        <v>732866.7</v>
      </c>
      <c r="G72" s="57">
        <v>731973.7</v>
      </c>
      <c r="H72" s="57"/>
      <c r="I72" s="57">
        <v>893</v>
      </c>
      <c r="J72" s="55">
        <f t="shared" si="29"/>
        <v>732866.6</v>
      </c>
      <c r="K72" s="57">
        <v>731973.7</v>
      </c>
      <c r="L72" s="57"/>
      <c r="M72" s="57">
        <v>892.9</v>
      </c>
      <c r="N72" s="58">
        <f t="shared" si="21"/>
        <v>1</v>
      </c>
    </row>
    <row r="73" spans="1:14" ht="56.25" customHeight="1">
      <c r="A73" s="44"/>
      <c r="B73" s="32" t="s">
        <v>59</v>
      </c>
      <c r="C73" s="29">
        <v>815</v>
      </c>
      <c r="D73" s="31" t="s">
        <v>58</v>
      </c>
      <c r="E73" s="39" t="s">
        <v>336</v>
      </c>
      <c r="F73" s="55">
        <f t="shared" si="28"/>
        <v>77312</v>
      </c>
      <c r="G73" s="57">
        <f>44318-5662</f>
        <v>38656</v>
      </c>
      <c r="H73" s="57"/>
      <c r="I73" s="57">
        <v>38656</v>
      </c>
      <c r="J73" s="55">
        <f t="shared" si="29"/>
        <v>77312</v>
      </c>
      <c r="K73" s="57">
        <f>1371.7+30466.25+6818</f>
        <v>38656</v>
      </c>
      <c r="L73" s="57"/>
      <c r="M73" s="57">
        <v>38656</v>
      </c>
      <c r="N73" s="58">
        <f t="shared" si="21"/>
        <v>1</v>
      </c>
    </row>
    <row r="74" spans="1:14" ht="78" customHeight="1">
      <c r="A74" s="44"/>
      <c r="B74" s="32" t="s">
        <v>295</v>
      </c>
      <c r="C74" s="29">
        <v>815</v>
      </c>
      <c r="D74" s="31" t="s">
        <v>58</v>
      </c>
      <c r="E74" s="39" t="s">
        <v>344</v>
      </c>
      <c r="F74" s="55">
        <f t="shared" si="28"/>
        <v>69189.100000000006</v>
      </c>
      <c r="G74" s="57">
        <v>69119.8</v>
      </c>
      <c r="H74" s="57"/>
      <c r="I74" s="57">
        <v>69.3</v>
      </c>
      <c r="J74" s="55">
        <f t="shared" si="29"/>
        <v>69189.100000000006</v>
      </c>
      <c r="K74" s="57">
        <v>69119.8</v>
      </c>
      <c r="L74" s="57"/>
      <c r="M74" s="57">
        <v>69.3</v>
      </c>
      <c r="N74" s="58">
        <f t="shared" si="21"/>
        <v>1</v>
      </c>
    </row>
    <row r="75" spans="1:14" ht="33">
      <c r="A75" s="38" t="s">
        <v>60</v>
      </c>
      <c r="B75" s="26" t="s">
        <v>61</v>
      </c>
      <c r="C75" s="27" t="s">
        <v>13</v>
      </c>
      <c r="D75" s="27" t="s">
        <v>13</v>
      </c>
      <c r="E75" s="27" t="s">
        <v>13</v>
      </c>
      <c r="F75" s="55">
        <f>SUM(F77:F82)</f>
        <v>285341.7</v>
      </c>
      <c r="G75" s="55">
        <f>SUM(G77:G82)</f>
        <v>65613.8</v>
      </c>
      <c r="H75" s="55">
        <f t="shared" ref="H75" si="30">SUM(H77:H82)</f>
        <v>219727.9</v>
      </c>
      <c r="I75" s="55">
        <f>SUM(I77:I82)</f>
        <v>0</v>
      </c>
      <c r="J75" s="55">
        <f>SUM(J77:J82)</f>
        <v>285311.8</v>
      </c>
      <c r="K75" s="55">
        <f>SUM(K77:K82)</f>
        <v>65608.399999999994</v>
      </c>
      <c r="L75" s="55">
        <f>SUM(L77:L82)</f>
        <v>219703.4</v>
      </c>
      <c r="M75" s="55">
        <f>SUM(M77:M82)</f>
        <v>0</v>
      </c>
      <c r="N75" s="56">
        <f t="shared" si="21"/>
        <v>1</v>
      </c>
    </row>
    <row r="76" spans="1:14" ht="18.75">
      <c r="A76" s="44"/>
      <c r="B76" s="28" t="s">
        <v>16</v>
      </c>
      <c r="C76" s="29"/>
      <c r="D76" s="29"/>
      <c r="E76" s="29"/>
      <c r="F76" s="55"/>
      <c r="G76" s="55"/>
      <c r="H76" s="55"/>
      <c r="I76" s="55"/>
      <c r="J76" s="55"/>
      <c r="K76" s="55"/>
      <c r="L76" s="55"/>
      <c r="M76" s="55"/>
      <c r="N76" s="56"/>
    </row>
    <row r="77" spans="1:14" ht="74.25" customHeight="1">
      <c r="A77" s="44"/>
      <c r="B77" s="32" t="s">
        <v>62</v>
      </c>
      <c r="C77" s="29">
        <v>815</v>
      </c>
      <c r="D77" s="31" t="s">
        <v>58</v>
      </c>
      <c r="E77" s="39" t="s">
        <v>224</v>
      </c>
      <c r="F77" s="55">
        <f t="shared" ref="F77:F82" si="31">G77+H77+I77</f>
        <v>198039.3</v>
      </c>
      <c r="G77" s="57">
        <f>6370.9-101.92+101.92-429.68</f>
        <v>5941.2</v>
      </c>
      <c r="H77" s="57">
        <f>205991.4-3295.45+3295.45-13893.08-0.26</f>
        <v>192098.1</v>
      </c>
      <c r="I77" s="57"/>
      <c r="J77" s="55">
        <f t="shared" ref="J77:J82" si="32">K77+L77+M77</f>
        <v>198014</v>
      </c>
      <c r="K77" s="57">
        <f>126.5+488.49+344.53+95.13+522+1249.37+1494.58+327.99+17.16+655.24+265.51+353.89</f>
        <v>5940.4</v>
      </c>
      <c r="L77" s="57">
        <f>34101.57+16877.91+40396.41+48324.62+10605.03+554.82+21186.17+8584.68+11442.43</f>
        <v>192073.60000000001</v>
      </c>
      <c r="M77" s="57"/>
      <c r="N77" s="58">
        <f t="shared" si="21"/>
        <v>1</v>
      </c>
    </row>
    <row r="78" spans="1:14" ht="65.25" customHeight="1">
      <c r="A78" s="44"/>
      <c r="B78" s="32" t="s">
        <v>64</v>
      </c>
      <c r="C78" s="29">
        <v>815</v>
      </c>
      <c r="D78" s="31" t="s">
        <v>58</v>
      </c>
      <c r="E78" s="39" t="s">
        <v>292</v>
      </c>
      <c r="F78" s="55">
        <f t="shared" si="31"/>
        <v>1177.2</v>
      </c>
      <c r="G78" s="57">
        <f>54060-53050.8+167.97</f>
        <v>1177.2</v>
      </c>
      <c r="H78" s="57"/>
      <c r="I78" s="57"/>
      <c r="J78" s="55">
        <f t="shared" si="32"/>
        <v>1172.5999999999999</v>
      </c>
      <c r="K78" s="57">
        <f>68.8+6.66+37.88+897.89+161.38</f>
        <v>1172.5999999999999</v>
      </c>
      <c r="L78" s="57"/>
      <c r="M78" s="57"/>
      <c r="N78" s="58">
        <f t="shared" si="21"/>
        <v>0.996</v>
      </c>
    </row>
    <row r="79" spans="1:14" ht="77.25" customHeight="1">
      <c r="A79" s="44"/>
      <c r="B79" s="32" t="s">
        <v>62</v>
      </c>
      <c r="C79" s="29">
        <v>816</v>
      </c>
      <c r="D79" s="31" t="s">
        <v>63</v>
      </c>
      <c r="E79" s="39" t="s">
        <v>224</v>
      </c>
      <c r="F79" s="55">
        <f t="shared" si="31"/>
        <v>15735.6</v>
      </c>
      <c r="G79" s="57">
        <f>472.1</f>
        <v>472.1</v>
      </c>
      <c r="H79" s="57">
        <f>15339.8-76.31</f>
        <v>15263.5</v>
      </c>
      <c r="I79" s="57"/>
      <c r="J79" s="55">
        <f t="shared" si="32"/>
        <v>15735.6</v>
      </c>
      <c r="K79" s="57">
        <f>4+468.08</f>
        <v>472.1</v>
      </c>
      <c r="L79" s="57">
        <f>128.8+15134.72</f>
        <v>15263.5</v>
      </c>
      <c r="M79" s="57"/>
      <c r="N79" s="58">
        <f t="shared" si="21"/>
        <v>1</v>
      </c>
    </row>
    <row r="80" spans="1:14" ht="33">
      <c r="A80" s="44"/>
      <c r="B80" s="32" t="s">
        <v>225</v>
      </c>
      <c r="C80" s="29">
        <v>815</v>
      </c>
      <c r="D80" s="31" t="s">
        <v>58</v>
      </c>
      <c r="E80" s="39" t="s">
        <v>226</v>
      </c>
      <c r="F80" s="55">
        <f t="shared" si="31"/>
        <v>12748.8</v>
      </c>
      <c r="G80" s="57">
        <f>382.5</f>
        <v>382.5</v>
      </c>
      <c r="H80" s="57">
        <f>12866.9-500.64</f>
        <v>12366.3</v>
      </c>
      <c r="I80" s="57"/>
      <c r="J80" s="55">
        <f t="shared" si="32"/>
        <v>12748.8</v>
      </c>
      <c r="K80" s="57">
        <f>128.7+234.08+19.73</f>
        <v>382.5</v>
      </c>
      <c r="L80" s="57">
        <f>4159.9+7568.54+637.84</f>
        <v>12366.3</v>
      </c>
      <c r="M80" s="57"/>
      <c r="N80" s="58">
        <f t="shared" si="21"/>
        <v>1</v>
      </c>
    </row>
    <row r="81" spans="1:14" ht="74.25" customHeight="1">
      <c r="A81" s="44"/>
      <c r="B81" s="32" t="s">
        <v>337</v>
      </c>
      <c r="C81" s="29">
        <v>815</v>
      </c>
      <c r="D81" s="31" t="s">
        <v>58</v>
      </c>
      <c r="E81" s="34" t="s">
        <v>338</v>
      </c>
      <c r="F81" s="55">
        <f t="shared" si="31"/>
        <v>53050.8</v>
      </c>
      <c r="G81" s="57">
        <v>53050.8</v>
      </c>
      <c r="H81" s="57"/>
      <c r="I81" s="57"/>
      <c r="J81" s="55">
        <f t="shared" si="32"/>
        <v>53050.8</v>
      </c>
      <c r="K81" s="57">
        <f>20669.4+25970+6411.4</f>
        <v>53050.8</v>
      </c>
      <c r="L81" s="57"/>
      <c r="M81" s="57"/>
      <c r="N81" s="58">
        <f t="shared" si="21"/>
        <v>1</v>
      </c>
    </row>
    <row r="82" spans="1:14" ht="74.25" customHeight="1">
      <c r="A82" s="44"/>
      <c r="B82" s="32" t="s">
        <v>65</v>
      </c>
      <c r="C82" s="29">
        <v>816</v>
      </c>
      <c r="D82" s="31" t="s">
        <v>63</v>
      </c>
      <c r="E82" s="39" t="s">
        <v>306</v>
      </c>
      <c r="F82" s="55">
        <f t="shared" si="31"/>
        <v>4590</v>
      </c>
      <c r="G82" s="57">
        <v>4590</v>
      </c>
      <c r="H82" s="57"/>
      <c r="I82" s="57"/>
      <c r="J82" s="55">
        <f t="shared" si="32"/>
        <v>4590</v>
      </c>
      <c r="K82" s="57">
        <f>10+90.51+680+178.29+173.85+183.75+692+30.82+1231.19+1274.66+44.92</f>
        <v>4590</v>
      </c>
      <c r="L82" s="57"/>
      <c r="M82" s="57"/>
      <c r="N82" s="58">
        <f t="shared" si="21"/>
        <v>1</v>
      </c>
    </row>
    <row r="83" spans="1:14" ht="33">
      <c r="A83" s="41" t="s">
        <v>66</v>
      </c>
      <c r="B83" s="15" t="s">
        <v>67</v>
      </c>
      <c r="C83" s="6" t="s">
        <v>13</v>
      </c>
      <c r="D83" s="6" t="s">
        <v>13</v>
      </c>
      <c r="E83" s="6" t="s">
        <v>13</v>
      </c>
      <c r="F83" s="59">
        <f t="shared" ref="F83:M83" si="33">SUM(F85:F92)</f>
        <v>91637.3</v>
      </c>
      <c r="G83" s="59">
        <f t="shared" si="33"/>
        <v>35583.800000000003</v>
      </c>
      <c r="H83" s="59">
        <f t="shared" si="33"/>
        <v>56040.7</v>
      </c>
      <c r="I83" s="59">
        <f t="shared" si="33"/>
        <v>12.8</v>
      </c>
      <c r="J83" s="59">
        <f t="shared" si="33"/>
        <v>88410.9</v>
      </c>
      <c r="K83" s="59">
        <f t="shared" si="33"/>
        <v>35018.5</v>
      </c>
      <c r="L83" s="59">
        <f t="shared" si="33"/>
        <v>53379.6</v>
      </c>
      <c r="M83" s="59">
        <f t="shared" si="33"/>
        <v>12.8</v>
      </c>
      <c r="N83" s="62">
        <f t="shared" si="21"/>
        <v>0.96499999999999997</v>
      </c>
    </row>
    <row r="84" spans="1:14" ht="18.75">
      <c r="A84" s="44"/>
      <c r="B84" s="28" t="s">
        <v>16</v>
      </c>
      <c r="C84" s="29"/>
      <c r="D84" s="29"/>
      <c r="E84" s="29"/>
      <c r="F84" s="55"/>
      <c r="G84" s="55"/>
      <c r="H84" s="55"/>
      <c r="I84" s="55"/>
      <c r="J84" s="55"/>
      <c r="K84" s="55"/>
      <c r="L84" s="55"/>
      <c r="M84" s="55"/>
      <c r="N84" s="56"/>
    </row>
    <row r="85" spans="1:14" ht="143.25" customHeight="1">
      <c r="A85" s="44"/>
      <c r="B85" s="32" t="s">
        <v>331</v>
      </c>
      <c r="C85" s="29">
        <v>815</v>
      </c>
      <c r="D85" s="31" t="s">
        <v>58</v>
      </c>
      <c r="E85" s="29" t="s">
        <v>330</v>
      </c>
      <c r="F85" s="55">
        <f t="shared" ref="F85:F92" si="34">G85+H85+I85</f>
        <v>5020.5</v>
      </c>
      <c r="G85" s="55">
        <v>5020.5</v>
      </c>
      <c r="H85" s="55"/>
      <c r="I85" s="55"/>
      <c r="J85" s="55">
        <f t="shared" ref="J85:J92" si="35">K85+L85+M85</f>
        <v>5020.5</v>
      </c>
      <c r="K85" s="55">
        <v>5020.5</v>
      </c>
      <c r="L85" s="55"/>
      <c r="M85" s="55"/>
      <c r="N85" s="56">
        <f t="shared" si="21"/>
        <v>1</v>
      </c>
    </row>
    <row r="86" spans="1:14" ht="75" customHeight="1">
      <c r="A86" s="44"/>
      <c r="B86" s="32" t="s">
        <v>218</v>
      </c>
      <c r="C86" s="29">
        <v>821</v>
      </c>
      <c r="D86" s="31" t="s">
        <v>20</v>
      </c>
      <c r="E86" s="39" t="s">
        <v>219</v>
      </c>
      <c r="F86" s="55">
        <f t="shared" si="34"/>
        <v>12809.4</v>
      </c>
      <c r="G86" s="57">
        <v>2175.4</v>
      </c>
      <c r="H86" s="57">
        <v>10621.2</v>
      </c>
      <c r="I86" s="57">
        <v>12.8</v>
      </c>
      <c r="J86" s="55">
        <f t="shared" si="35"/>
        <v>9603.2999999999993</v>
      </c>
      <c r="K86" s="57">
        <f>210.9+262.46+127.35+482+547.72</f>
        <v>1630.4</v>
      </c>
      <c r="L86" s="57">
        <f>1029.5+1281.43+621.75+2353.28+2674.17</f>
        <v>7960.1</v>
      </c>
      <c r="M86" s="57">
        <v>12.8</v>
      </c>
      <c r="N86" s="58">
        <f t="shared" si="21"/>
        <v>0.75</v>
      </c>
    </row>
    <row r="87" spans="1:14" ht="75" customHeight="1">
      <c r="A87" s="44"/>
      <c r="B87" s="32" t="s">
        <v>223</v>
      </c>
      <c r="C87" s="29">
        <v>815</v>
      </c>
      <c r="D87" s="31" t="s">
        <v>58</v>
      </c>
      <c r="E87" s="39" t="s">
        <v>222</v>
      </c>
      <c r="F87" s="55">
        <f t="shared" si="34"/>
        <v>31200.6</v>
      </c>
      <c r="G87" s="57">
        <f>782.2+1310.3+117.4-2.87</f>
        <v>2207</v>
      </c>
      <c r="H87" s="57">
        <f>25290.2+3796-92.64</f>
        <v>28993.599999999999</v>
      </c>
      <c r="I87" s="57"/>
      <c r="J87" s="55">
        <f t="shared" si="35"/>
        <v>31196.799999999999</v>
      </c>
      <c r="K87" s="57">
        <f>1408.73+10.38+0.31+19+195.27+14.9+22.29+52+8+147.7+228.89+92.06+3.67</f>
        <v>2203.1999999999998</v>
      </c>
      <c r="L87" s="57">
        <v>28993.599999999999</v>
      </c>
      <c r="M87" s="57"/>
      <c r="N87" s="58">
        <f t="shared" si="21"/>
        <v>1</v>
      </c>
    </row>
    <row r="88" spans="1:14" ht="33">
      <c r="A88" s="44"/>
      <c r="B88" s="32" t="s">
        <v>68</v>
      </c>
      <c r="C88" s="29">
        <v>815</v>
      </c>
      <c r="D88" s="31" t="s">
        <v>58</v>
      </c>
      <c r="E88" s="39" t="s">
        <v>296</v>
      </c>
      <c r="F88" s="55">
        <f t="shared" si="34"/>
        <v>70.2</v>
      </c>
      <c r="G88" s="57">
        <f>10000-9929.84</f>
        <v>70.2</v>
      </c>
      <c r="H88" s="57"/>
      <c r="I88" s="57"/>
      <c r="J88" s="55">
        <f t="shared" si="35"/>
        <v>70.2</v>
      </c>
      <c r="K88" s="57">
        <v>70.2</v>
      </c>
      <c r="L88" s="57"/>
      <c r="M88" s="57"/>
      <c r="N88" s="58">
        <f t="shared" si="21"/>
        <v>1</v>
      </c>
    </row>
    <row r="89" spans="1:14" ht="66">
      <c r="A89" s="44"/>
      <c r="B89" s="32" t="s">
        <v>69</v>
      </c>
      <c r="C89" s="29">
        <v>815</v>
      </c>
      <c r="D89" s="31" t="s">
        <v>58</v>
      </c>
      <c r="E89" s="34" t="s">
        <v>297</v>
      </c>
      <c r="F89" s="55">
        <f t="shared" si="34"/>
        <v>4115.3</v>
      </c>
      <c r="G89" s="57">
        <f>19936.3-15821</f>
        <v>4115.3</v>
      </c>
      <c r="H89" s="57"/>
      <c r="I89" s="57"/>
      <c r="J89" s="55">
        <f t="shared" si="35"/>
        <v>4098.8</v>
      </c>
      <c r="K89" s="57">
        <f>1275.24+703.79+86.9+274.89+50.55+367.11+67.24+501.37+198.47+3+308.07+12.5+249.7</f>
        <v>4098.8</v>
      </c>
      <c r="L89" s="57"/>
      <c r="M89" s="57"/>
      <c r="N89" s="58">
        <f t="shared" si="21"/>
        <v>0.996</v>
      </c>
    </row>
    <row r="90" spans="1:14" ht="33">
      <c r="A90" s="44"/>
      <c r="B90" s="32" t="s">
        <v>70</v>
      </c>
      <c r="C90" s="29">
        <v>815</v>
      </c>
      <c r="D90" s="31" t="s">
        <v>58</v>
      </c>
      <c r="E90" s="34" t="s">
        <v>332</v>
      </c>
      <c r="F90" s="55">
        <f t="shared" si="34"/>
        <v>12000</v>
      </c>
      <c r="G90" s="57">
        <v>12000</v>
      </c>
      <c r="H90" s="57"/>
      <c r="I90" s="57"/>
      <c r="J90" s="55">
        <f t="shared" si="35"/>
        <v>12000</v>
      </c>
      <c r="K90" s="57">
        <f>6056.8+1784.86+937.69+1521.69+1698.92</f>
        <v>12000</v>
      </c>
      <c r="L90" s="57"/>
      <c r="M90" s="57"/>
      <c r="N90" s="58">
        <f t="shared" si="21"/>
        <v>1</v>
      </c>
    </row>
    <row r="91" spans="1:14" ht="66">
      <c r="A91" s="44"/>
      <c r="B91" s="32" t="s">
        <v>333</v>
      </c>
      <c r="C91" s="29">
        <v>815</v>
      </c>
      <c r="D91" s="31" t="s">
        <v>58</v>
      </c>
      <c r="E91" s="34" t="s">
        <v>334</v>
      </c>
      <c r="F91" s="55">
        <f t="shared" si="34"/>
        <v>1910</v>
      </c>
      <c r="G91" s="57">
        <v>1910</v>
      </c>
      <c r="H91" s="57"/>
      <c r="I91" s="57"/>
      <c r="J91" s="55">
        <f t="shared" si="35"/>
        <v>1910</v>
      </c>
      <c r="K91" s="57">
        <f>130+1780</f>
        <v>1910</v>
      </c>
      <c r="L91" s="57"/>
      <c r="M91" s="57"/>
      <c r="N91" s="58">
        <f t="shared" si="21"/>
        <v>1</v>
      </c>
    </row>
    <row r="92" spans="1:14" ht="33">
      <c r="A92" s="44"/>
      <c r="B92" s="32" t="s">
        <v>221</v>
      </c>
      <c r="C92" s="29">
        <v>815</v>
      </c>
      <c r="D92" s="31" t="s">
        <v>58</v>
      </c>
      <c r="E92" s="34" t="s">
        <v>220</v>
      </c>
      <c r="F92" s="55">
        <f t="shared" si="34"/>
        <v>24511.3</v>
      </c>
      <c r="G92" s="57">
        <f>15662.4-7577</f>
        <v>8085.4</v>
      </c>
      <c r="H92" s="57">
        <v>16425.900000000001</v>
      </c>
      <c r="I92" s="57"/>
      <c r="J92" s="55">
        <f t="shared" si="35"/>
        <v>24511.3</v>
      </c>
      <c r="K92" s="57">
        <v>8085.4</v>
      </c>
      <c r="L92" s="57">
        <f>4927.8+11498.1</f>
        <v>16425.900000000001</v>
      </c>
      <c r="M92" s="57"/>
      <c r="N92" s="58">
        <f t="shared" si="21"/>
        <v>1</v>
      </c>
    </row>
    <row r="93" spans="1:14" ht="66">
      <c r="A93" s="41" t="s">
        <v>71</v>
      </c>
      <c r="B93" s="15" t="s">
        <v>72</v>
      </c>
      <c r="C93" s="6" t="s">
        <v>13</v>
      </c>
      <c r="D93" s="6" t="s">
        <v>13</v>
      </c>
      <c r="E93" s="6" t="s">
        <v>13</v>
      </c>
      <c r="F93" s="59">
        <f>SUM(F95:F100)</f>
        <v>73452.800000000003</v>
      </c>
      <c r="G93" s="55">
        <f>SUM(G95:G100)</f>
        <v>73452.800000000003</v>
      </c>
      <c r="H93" s="55">
        <f t="shared" ref="H93" si="36">SUM(H95:H100)</f>
        <v>0</v>
      </c>
      <c r="I93" s="55">
        <f>SUM(I95:I100)</f>
        <v>0</v>
      </c>
      <c r="J93" s="59">
        <f>SUM(J95:J100)</f>
        <v>72106.5</v>
      </c>
      <c r="K93" s="55">
        <f>SUM(K95:K100)</f>
        <v>72106.5</v>
      </c>
      <c r="L93" s="55">
        <f>SUM(L95:L100)</f>
        <v>0</v>
      </c>
      <c r="M93" s="55">
        <f>SUM(M95:M100)</f>
        <v>0</v>
      </c>
      <c r="N93" s="56">
        <f t="shared" si="21"/>
        <v>0.98199999999999998</v>
      </c>
    </row>
    <row r="94" spans="1:14" ht="18.75">
      <c r="A94" s="42"/>
      <c r="B94" s="16" t="s">
        <v>16</v>
      </c>
      <c r="C94" s="7"/>
      <c r="D94" s="7"/>
      <c r="E94" s="7"/>
      <c r="F94" s="59"/>
      <c r="G94" s="55"/>
      <c r="H94" s="55"/>
      <c r="I94" s="55"/>
      <c r="J94" s="59"/>
      <c r="K94" s="55"/>
      <c r="L94" s="55"/>
      <c r="M94" s="55"/>
      <c r="N94" s="56"/>
    </row>
    <row r="95" spans="1:14" ht="82.5">
      <c r="A95" s="44"/>
      <c r="B95" s="32" t="s">
        <v>300</v>
      </c>
      <c r="C95" s="29">
        <v>816</v>
      </c>
      <c r="D95" s="31" t="s">
        <v>63</v>
      </c>
      <c r="E95" s="29" t="s">
        <v>299</v>
      </c>
      <c r="F95" s="55">
        <f t="shared" ref="F95:F100" si="37">G95+H95+I95</f>
        <v>16630</v>
      </c>
      <c r="G95" s="57">
        <v>16630</v>
      </c>
      <c r="H95" s="57"/>
      <c r="I95" s="57"/>
      <c r="J95" s="55">
        <f t="shared" ref="J95:J100" si="38">K95+L95+M95</f>
        <v>16111.1</v>
      </c>
      <c r="K95" s="57">
        <f>78.1+60+1539.17+1378+54.05+218.64+485.76+496.68+21.12+1002.49+2097.32+6999.59+1680.16</f>
        <v>16111.1</v>
      </c>
      <c r="L95" s="57"/>
      <c r="M95" s="57"/>
      <c r="N95" s="58">
        <f t="shared" si="21"/>
        <v>0.96899999999999997</v>
      </c>
    </row>
    <row r="96" spans="1:14" ht="33">
      <c r="A96" s="44"/>
      <c r="B96" s="32" t="s">
        <v>74</v>
      </c>
      <c r="C96" s="29">
        <v>816</v>
      </c>
      <c r="D96" s="31" t="s">
        <v>63</v>
      </c>
      <c r="E96" s="39" t="s">
        <v>307</v>
      </c>
      <c r="F96" s="55">
        <f t="shared" si="37"/>
        <v>43882.8</v>
      </c>
      <c r="G96" s="57">
        <f>45240-1357.2</f>
        <v>43882.8</v>
      </c>
      <c r="H96" s="57"/>
      <c r="I96" s="57"/>
      <c r="J96" s="55">
        <f t="shared" si="38"/>
        <v>43882.8</v>
      </c>
      <c r="K96" s="57">
        <f>5600+3800+3800+3800+3600+3600+3600+3600+3600+3600+5282.8</f>
        <v>43882.8</v>
      </c>
      <c r="L96" s="57"/>
      <c r="M96" s="57"/>
      <c r="N96" s="58">
        <f t="shared" si="21"/>
        <v>1</v>
      </c>
    </row>
    <row r="97" spans="1:14" ht="66">
      <c r="A97" s="44"/>
      <c r="B97" s="32" t="s">
        <v>73</v>
      </c>
      <c r="C97" s="29">
        <v>816</v>
      </c>
      <c r="D97" s="31" t="s">
        <v>63</v>
      </c>
      <c r="E97" s="39" t="s">
        <v>301</v>
      </c>
      <c r="F97" s="55">
        <f t="shared" si="37"/>
        <v>1450</v>
      </c>
      <c r="G97" s="57">
        <v>1450</v>
      </c>
      <c r="H97" s="57"/>
      <c r="I97" s="57"/>
      <c r="J97" s="55">
        <f t="shared" si="38"/>
        <v>1450</v>
      </c>
      <c r="K97" s="57">
        <f>173.5+803.25+473.25</f>
        <v>1450</v>
      </c>
      <c r="L97" s="57"/>
      <c r="M97" s="57"/>
      <c r="N97" s="58">
        <f t="shared" si="21"/>
        <v>1</v>
      </c>
    </row>
    <row r="98" spans="1:14" ht="66">
      <c r="A98" s="44"/>
      <c r="B98" s="32" t="s">
        <v>75</v>
      </c>
      <c r="C98" s="29">
        <v>816</v>
      </c>
      <c r="D98" s="31" t="s">
        <v>63</v>
      </c>
      <c r="E98" s="39" t="s">
        <v>302</v>
      </c>
      <c r="F98" s="55">
        <f t="shared" si="37"/>
        <v>5620</v>
      </c>
      <c r="G98" s="57">
        <v>5620</v>
      </c>
      <c r="H98" s="57"/>
      <c r="I98" s="57"/>
      <c r="J98" s="55">
        <f t="shared" si="38"/>
        <v>4843.6000000000004</v>
      </c>
      <c r="K98" s="57">
        <f>318.1+2141.65+2107.78+267.03+9</f>
        <v>4843.6000000000004</v>
      </c>
      <c r="L98" s="57"/>
      <c r="M98" s="57"/>
      <c r="N98" s="58">
        <f t="shared" si="21"/>
        <v>0.86199999999999999</v>
      </c>
    </row>
    <row r="99" spans="1:14" ht="82.5">
      <c r="A99" s="44"/>
      <c r="B99" s="32" t="s">
        <v>76</v>
      </c>
      <c r="C99" s="29">
        <v>816</v>
      </c>
      <c r="D99" s="31" t="s">
        <v>63</v>
      </c>
      <c r="E99" s="39" t="s">
        <v>298</v>
      </c>
      <c r="F99" s="55">
        <f t="shared" si="37"/>
        <v>20</v>
      </c>
      <c r="G99" s="57">
        <v>20</v>
      </c>
      <c r="H99" s="57"/>
      <c r="I99" s="57"/>
      <c r="J99" s="55">
        <f t="shared" si="38"/>
        <v>20</v>
      </c>
      <c r="K99" s="57">
        <v>20</v>
      </c>
      <c r="L99" s="57"/>
      <c r="M99" s="57"/>
      <c r="N99" s="58">
        <f t="shared" si="21"/>
        <v>1</v>
      </c>
    </row>
    <row r="100" spans="1:14" ht="66">
      <c r="A100" s="44"/>
      <c r="B100" s="32" t="s">
        <v>77</v>
      </c>
      <c r="C100" s="29">
        <v>816</v>
      </c>
      <c r="D100" s="31" t="s">
        <v>63</v>
      </c>
      <c r="E100" s="39" t="s">
        <v>303</v>
      </c>
      <c r="F100" s="55">
        <f t="shared" si="37"/>
        <v>5850</v>
      </c>
      <c r="G100" s="57">
        <v>5850</v>
      </c>
      <c r="H100" s="57"/>
      <c r="I100" s="57"/>
      <c r="J100" s="55">
        <f t="shared" si="38"/>
        <v>5799</v>
      </c>
      <c r="K100" s="57">
        <f>151.8+1816.9+83.88+52.81+27.66+128.2+27.3+270+892.69+987.29+61.56+30.78+1268.12</f>
        <v>5799</v>
      </c>
      <c r="L100" s="57"/>
      <c r="M100" s="57"/>
      <c r="N100" s="58">
        <f t="shared" si="21"/>
        <v>0.99099999999999999</v>
      </c>
    </row>
    <row r="101" spans="1:14" s="47" customFormat="1" ht="33">
      <c r="A101" s="38" t="s">
        <v>78</v>
      </c>
      <c r="B101" s="26" t="s">
        <v>79</v>
      </c>
      <c r="C101" s="27" t="s">
        <v>13</v>
      </c>
      <c r="D101" s="27" t="s">
        <v>13</v>
      </c>
      <c r="E101" s="27" t="s">
        <v>13</v>
      </c>
      <c r="F101" s="55">
        <f t="shared" ref="F101:M101" si="39">F103</f>
        <v>850</v>
      </c>
      <c r="G101" s="55">
        <f t="shared" si="39"/>
        <v>850</v>
      </c>
      <c r="H101" s="55">
        <f t="shared" ref="H101" si="40">H103</f>
        <v>0</v>
      </c>
      <c r="I101" s="55">
        <f t="shared" si="39"/>
        <v>0</v>
      </c>
      <c r="J101" s="55">
        <f t="shared" si="39"/>
        <v>849.9</v>
      </c>
      <c r="K101" s="55">
        <f t="shared" si="39"/>
        <v>849.9</v>
      </c>
      <c r="L101" s="55">
        <f t="shared" si="39"/>
        <v>0</v>
      </c>
      <c r="M101" s="55">
        <f t="shared" si="39"/>
        <v>0</v>
      </c>
      <c r="N101" s="56">
        <f t="shared" si="21"/>
        <v>1</v>
      </c>
    </row>
    <row r="102" spans="1:14" ht="18.75">
      <c r="A102" s="41"/>
      <c r="B102" s="18" t="s">
        <v>16</v>
      </c>
      <c r="C102" s="6"/>
      <c r="D102" s="6"/>
      <c r="E102" s="6"/>
      <c r="F102" s="59"/>
      <c r="G102" s="55"/>
      <c r="H102" s="55"/>
      <c r="I102" s="55"/>
      <c r="J102" s="59"/>
      <c r="K102" s="55"/>
      <c r="L102" s="55"/>
      <c r="M102" s="55"/>
      <c r="N102" s="56"/>
    </row>
    <row r="103" spans="1:14" ht="49.5">
      <c r="A103" s="42"/>
      <c r="B103" s="17" t="s">
        <v>80</v>
      </c>
      <c r="C103" s="7">
        <v>815</v>
      </c>
      <c r="D103" s="8" t="s">
        <v>58</v>
      </c>
      <c r="E103" s="10" t="s">
        <v>294</v>
      </c>
      <c r="F103" s="59">
        <f>G103+H103+I103</f>
        <v>850</v>
      </c>
      <c r="G103" s="57">
        <f>1700-850</f>
        <v>850</v>
      </c>
      <c r="H103" s="57"/>
      <c r="I103" s="57"/>
      <c r="J103" s="59">
        <f>K103+L103+M103</f>
        <v>849.9</v>
      </c>
      <c r="K103" s="57">
        <f>4.1+60+172.32+32.79+31.05+473.66+17+59</f>
        <v>849.9</v>
      </c>
      <c r="L103" s="57"/>
      <c r="M103" s="57"/>
      <c r="N103" s="58">
        <f t="shared" si="21"/>
        <v>1</v>
      </c>
    </row>
    <row r="104" spans="1:14" s="47" customFormat="1" ht="33">
      <c r="A104" s="38" t="s">
        <v>162</v>
      </c>
      <c r="B104" s="26" t="s">
        <v>163</v>
      </c>
      <c r="C104" s="27" t="s">
        <v>13</v>
      </c>
      <c r="D104" s="27" t="s">
        <v>13</v>
      </c>
      <c r="E104" s="27" t="s">
        <v>13</v>
      </c>
      <c r="F104" s="55">
        <f t="shared" ref="F104:M104" si="41">SUM(F106)</f>
        <v>100</v>
      </c>
      <c r="G104" s="55">
        <f t="shared" si="41"/>
        <v>100</v>
      </c>
      <c r="H104" s="55">
        <f t="shared" ref="H104" si="42">SUM(H106)</f>
        <v>0</v>
      </c>
      <c r="I104" s="55">
        <f t="shared" si="41"/>
        <v>0</v>
      </c>
      <c r="J104" s="55">
        <f t="shared" si="41"/>
        <v>100</v>
      </c>
      <c r="K104" s="55">
        <f t="shared" si="41"/>
        <v>100</v>
      </c>
      <c r="L104" s="55">
        <f t="shared" si="41"/>
        <v>0</v>
      </c>
      <c r="M104" s="55">
        <f t="shared" si="41"/>
        <v>0</v>
      </c>
      <c r="N104" s="56">
        <f t="shared" ref="N104:N158" si="43">J104/F104</f>
        <v>1</v>
      </c>
    </row>
    <row r="105" spans="1:14" ht="18.75">
      <c r="A105" s="41"/>
      <c r="B105" s="18" t="s">
        <v>16</v>
      </c>
      <c r="C105" s="6"/>
      <c r="D105" s="6"/>
      <c r="E105" s="6"/>
      <c r="F105" s="59"/>
      <c r="G105" s="55"/>
      <c r="H105" s="55"/>
      <c r="I105" s="55"/>
      <c r="J105" s="59"/>
      <c r="K105" s="55"/>
      <c r="L105" s="55"/>
      <c r="M105" s="55"/>
      <c r="N105" s="56"/>
    </row>
    <row r="106" spans="1:14" ht="82.5">
      <c r="A106" s="42"/>
      <c r="B106" s="17" t="s">
        <v>164</v>
      </c>
      <c r="C106" s="7">
        <v>815</v>
      </c>
      <c r="D106" s="8" t="s">
        <v>58</v>
      </c>
      <c r="E106" s="10" t="s">
        <v>293</v>
      </c>
      <c r="F106" s="59">
        <f>G106+H106+I106</f>
        <v>100</v>
      </c>
      <c r="G106" s="57">
        <v>100</v>
      </c>
      <c r="H106" s="57"/>
      <c r="I106" s="57"/>
      <c r="J106" s="59">
        <f>K106+L106+M106</f>
        <v>100</v>
      </c>
      <c r="K106" s="57">
        <v>100</v>
      </c>
      <c r="L106" s="57"/>
      <c r="M106" s="57"/>
      <c r="N106" s="58">
        <f t="shared" si="43"/>
        <v>1</v>
      </c>
    </row>
    <row r="107" spans="1:14" ht="33">
      <c r="A107" s="41" t="s">
        <v>203</v>
      </c>
      <c r="B107" s="15" t="s">
        <v>202</v>
      </c>
      <c r="C107" s="6" t="s">
        <v>13</v>
      </c>
      <c r="D107" s="6" t="s">
        <v>13</v>
      </c>
      <c r="E107" s="6" t="s">
        <v>13</v>
      </c>
      <c r="F107" s="59">
        <f t="shared" ref="F107:M107" si="44">SUM(F109)</f>
        <v>8559.9</v>
      </c>
      <c r="G107" s="55">
        <f t="shared" si="44"/>
        <v>576.79999999999995</v>
      </c>
      <c r="H107" s="55">
        <f t="shared" ref="H107" si="45">SUM(H109)</f>
        <v>7983.1</v>
      </c>
      <c r="I107" s="55">
        <f t="shared" si="44"/>
        <v>0</v>
      </c>
      <c r="J107" s="59">
        <f t="shared" si="44"/>
        <v>8559.9</v>
      </c>
      <c r="K107" s="55">
        <f t="shared" si="44"/>
        <v>576.79999999999995</v>
      </c>
      <c r="L107" s="55">
        <f t="shared" si="44"/>
        <v>7983.1</v>
      </c>
      <c r="M107" s="55">
        <f t="shared" si="44"/>
        <v>0</v>
      </c>
      <c r="N107" s="56">
        <f t="shared" si="43"/>
        <v>1</v>
      </c>
    </row>
    <row r="108" spans="1:14" ht="18.75">
      <c r="A108" s="41"/>
      <c r="B108" s="18" t="s">
        <v>16</v>
      </c>
      <c r="C108" s="6"/>
      <c r="D108" s="6"/>
      <c r="E108" s="6"/>
      <c r="F108" s="59"/>
      <c r="G108" s="55"/>
      <c r="H108" s="55"/>
      <c r="I108" s="55"/>
      <c r="J108" s="59"/>
      <c r="K108" s="55"/>
      <c r="L108" s="55"/>
      <c r="M108" s="55"/>
      <c r="N108" s="56"/>
    </row>
    <row r="109" spans="1:14" ht="49.5">
      <c r="A109" s="41"/>
      <c r="B109" s="17" t="s">
        <v>204</v>
      </c>
      <c r="C109" s="7">
        <v>813</v>
      </c>
      <c r="D109" s="8" t="s">
        <v>26</v>
      </c>
      <c r="E109" s="7" t="s">
        <v>205</v>
      </c>
      <c r="F109" s="59">
        <f>G109+H109+I109</f>
        <v>8559.9</v>
      </c>
      <c r="G109" s="57">
        <f>246.9+329.9</f>
        <v>576.79999999999995</v>
      </c>
      <c r="H109" s="57">
        <v>7983.1</v>
      </c>
      <c r="I109" s="57"/>
      <c r="J109" s="59">
        <f>K109+L109+M109</f>
        <v>8559.9</v>
      </c>
      <c r="K109" s="57">
        <f>53.1+17.24+27.37+57.5+404.32+17.23</f>
        <v>576.79999999999995</v>
      </c>
      <c r="L109" s="57">
        <f>1717.9+557.5+884.92+1859.23+2725.01+238.54</f>
        <v>7983.1</v>
      </c>
      <c r="M109" s="57"/>
      <c r="N109" s="58">
        <f t="shared" si="43"/>
        <v>1</v>
      </c>
    </row>
    <row r="110" spans="1:14" ht="18.75">
      <c r="A110" s="43" t="s">
        <v>81</v>
      </c>
      <c r="B110" s="22" t="s">
        <v>82</v>
      </c>
      <c r="C110" s="1" t="s">
        <v>13</v>
      </c>
      <c r="D110" s="1" t="s">
        <v>13</v>
      </c>
      <c r="E110" s="1" t="s">
        <v>13</v>
      </c>
      <c r="F110" s="53">
        <f t="shared" ref="F110:M110" si="46">F111+F116+F119+F123</f>
        <v>62070.3</v>
      </c>
      <c r="G110" s="53">
        <f t="shared" si="46"/>
        <v>55269.9</v>
      </c>
      <c r="H110" s="53">
        <f t="shared" si="46"/>
        <v>6800.4</v>
      </c>
      <c r="I110" s="53">
        <f t="shared" si="46"/>
        <v>0</v>
      </c>
      <c r="J110" s="53">
        <f t="shared" si="46"/>
        <v>52509</v>
      </c>
      <c r="K110" s="53">
        <f t="shared" si="46"/>
        <v>45708.6</v>
      </c>
      <c r="L110" s="53">
        <f t="shared" si="46"/>
        <v>6800.4</v>
      </c>
      <c r="M110" s="53">
        <f t="shared" si="46"/>
        <v>0</v>
      </c>
      <c r="N110" s="54">
        <f t="shared" si="43"/>
        <v>0.84599999999999997</v>
      </c>
    </row>
    <row r="111" spans="1:14" ht="33">
      <c r="A111" s="41" t="s">
        <v>83</v>
      </c>
      <c r="B111" s="15" t="s">
        <v>84</v>
      </c>
      <c r="C111" s="6" t="s">
        <v>13</v>
      </c>
      <c r="D111" s="6" t="s">
        <v>13</v>
      </c>
      <c r="E111" s="6" t="s">
        <v>13</v>
      </c>
      <c r="F111" s="59">
        <f t="shared" ref="F111:M111" si="47">SUM(F113:F115)</f>
        <v>1393.6</v>
      </c>
      <c r="G111" s="55">
        <f t="shared" si="47"/>
        <v>1393.6</v>
      </c>
      <c r="H111" s="55">
        <f t="shared" si="47"/>
        <v>0</v>
      </c>
      <c r="I111" s="55">
        <f t="shared" si="47"/>
        <v>0</v>
      </c>
      <c r="J111" s="59">
        <f t="shared" si="47"/>
        <v>1393.6</v>
      </c>
      <c r="K111" s="55">
        <f t="shared" si="47"/>
        <v>1393.6</v>
      </c>
      <c r="L111" s="55">
        <f t="shared" si="47"/>
        <v>0</v>
      </c>
      <c r="M111" s="55">
        <f t="shared" si="47"/>
        <v>0</v>
      </c>
      <c r="N111" s="56">
        <f t="shared" si="43"/>
        <v>1</v>
      </c>
    </row>
    <row r="112" spans="1:14" ht="18.75">
      <c r="A112" s="38"/>
      <c r="B112" s="30" t="s">
        <v>16</v>
      </c>
      <c r="C112" s="27"/>
      <c r="D112" s="27"/>
      <c r="E112" s="27"/>
      <c r="F112" s="55"/>
      <c r="G112" s="55"/>
      <c r="H112" s="55"/>
      <c r="I112" s="55"/>
      <c r="J112" s="55"/>
      <c r="K112" s="55"/>
      <c r="L112" s="55"/>
      <c r="M112" s="55"/>
      <c r="N112" s="56"/>
    </row>
    <row r="113" spans="1:14" ht="74.25" customHeight="1">
      <c r="A113" s="44"/>
      <c r="B113" s="32" t="s">
        <v>157</v>
      </c>
      <c r="C113" s="29">
        <v>815</v>
      </c>
      <c r="D113" s="31" t="s">
        <v>58</v>
      </c>
      <c r="E113" s="39" t="s">
        <v>364</v>
      </c>
      <c r="F113" s="55">
        <f t="shared" ref="F113:F115" si="48">G113+H113+I113</f>
        <v>1026.3</v>
      </c>
      <c r="G113" s="57">
        <v>1026.3</v>
      </c>
      <c r="H113" s="57"/>
      <c r="I113" s="57"/>
      <c r="J113" s="55">
        <f t="shared" ref="J113:J115" si="49">K113+L113+M113</f>
        <v>1026.3</v>
      </c>
      <c r="K113" s="57">
        <f>78.9+947.37</f>
        <v>1026.3</v>
      </c>
      <c r="L113" s="57"/>
      <c r="M113" s="57"/>
      <c r="N113" s="58">
        <f t="shared" si="43"/>
        <v>1</v>
      </c>
    </row>
    <row r="114" spans="1:14" ht="82.5">
      <c r="A114" s="44"/>
      <c r="B114" s="32" t="s">
        <v>158</v>
      </c>
      <c r="C114" s="29">
        <v>815</v>
      </c>
      <c r="D114" s="31" t="s">
        <v>58</v>
      </c>
      <c r="E114" s="39" t="s">
        <v>365</v>
      </c>
      <c r="F114" s="55">
        <f t="shared" si="48"/>
        <v>122.4</v>
      </c>
      <c r="G114" s="57">
        <v>122.4</v>
      </c>
      <c r="H114" s="57"/>
      <c r="I114" s="57"/>
      <c r="J114" s="55">
        <f t="shared" si="49"/>
        <v>122.4</v>
      </c>
      <c r="K114" s="57">
        <f>61.2+61.22</f>
        <v>122.4</v>
      </c>
      <c r="L114" s="57"/>
      <c r="M114" s="57"/>
      <c r="N114" s="58">
        <f t="shared" si="43"/>
        <v>1</v>
      </c>
    </row>
    <row r="115" spans="1:14" ht="141.75" customHeight="1">
      <c r="A115" s="44"/>
      <c r="B115" s="32" t="s">
        <v>366</v>
      </c>
      <c r="C115" s="29">
        <v>815</v>
      </c>
      <c r="D115" s="31" t="s">
        <v>58</v>
      </c>
      <c r="E115" s="39" t="s">
        <v>367</v>
      </c>
      <c r="F115" s="55">
        <f t="shared" si="48"/>
        <v>244.9</v>
      </c>
      <c r="G115" s="57">
        <v>244.9</v>
      </c>
      <c r="H115" s="57"/>
      <c r="I115" s="57"/>
      <c r="J115" s="55">
        <f t="shared" si="49"/>
        <v>244.9</v>
      </c>
      <c r="K115" s="57">
        <v>244.9</v>
      </c>
      <c r="L115" s="57"/>
      <c r="M115" s="57"/>
      <c r="N115" s="58">
        <f t="shared" si="43"/>
        <v>1</v>
      </c>
    </row>
    <row r="116" spans="1:14" ht="18.75">
      <c r="A116" s="38" t="s">
        <v>85</v>
      </c>
      <c r="B116" s="26" t="s">
        <v>86</v>
      </c>
      <c r="C116" s="27" t="s">
        <v>13</v>
      </c>
      <c r="D116" s="27" t="s">
        <v>13</v>
      </c>
      <c r="E116" s="27" t="s">
        <v>13</v>
      </c>
      <c r="F116" s="55">
        <f t="shared" ref="F116:M116" si="50">SUM(F118:F118)</f>
        <v>20500</v>
      </c>
      <c r="G116" s="55">
        <f t="shared" si="50"/>
        <v>20500</v>
      </c>
      <c r="H116" s="55">
        <f t="shared" si="50"/>
        <v>0</v>
      </c>
      <c r="I116" s="55">
        <f t="shared" si="50"/>
        <v>0</v>
      </c>
      <c r="J116" s="55">
        <f t="shared" si="50"/>
        <v>11422.2</v>
      </c>
      <c r="K116" s="55">
        <f t="shared" si="50"/>
        <v>11422.2</v>
      </c>
      <c r="L116" s="55">
        <f t="shared" si="50"/>
        <v>0</v>
      </c>
      <c r="M116" s="55">
        <f t="shared" si="50"/>
        <v>0</v>
      </c>
      <c r="N116" s="56">
        <f t="shared" si="43"/>
        <v>0.55700000000000005</v>
      </c>
    </row>
    <row r="117" spans="1:14" ht="18.75">
      <c r="A117" s="44"/>
      <c r="B117" s="30" t="s">
        <v>16</v>
      </c>
      <c r="C117" s="29"/>
      <c r="D117" s="31"/>
      <c r="E117" s="39"/>
      <c r="F117" s="55"/>
      <c r="G117" s="55"/>
      <c r="H117" s="55"/>
      <c r="I117" s="55"/>
      <c r="J117" s="55"/>
      <c r="K117" s="55"/>
      <c r="L117" s="55"/>
      <c r="M117" s="55"/>
      <c r="N117" s="56"/>
    </row>
    <row r="118" spans="1:14" ht="49.5">
      <c r="A118" s="44"/>
      <c r="B118" s="32" t="s">
        <v>87</v>
      </c>
      <c r="C118" s="29">
        <v>840</v>
      </c>
      <c r="D118" s="31" t="s">
        <v>88</v>
      </c>
      <c r="E118" s="39" t="s">
        <v>318</v>
      </c>
      <c r="F118" s="55">
        <f>G118+H118+I118</f>
        <v>20500</v>
      </c>
      <c r="G118" s="57">
        <f>25000-4500</f>
        <v>20500</v>
      </c>
      <c r="H118" s="57"/>
      <c r="I118" s="57"/>
      <c r="J118" s="55">
        <f>K118+L118+M118</f>
        <v>11422.2</v>
      </c>
      <c r="K118" s="57">
        <f>6560.4+1693.3+141.32-206.84-41.48+1976.71-232.29+135+357.41+1038.67</f>
        <v>11422.2</v>
      </c>
      <c r="L118" s="57"/>
      <c r="M118" s="57"/>
      <c r="N118" s="58">
        <f t="shared" si="43"/>
        <v>0.55700000000000005</v>
      </c>
    </row>
    <row r="119" spans="1:14" ht="33">
      <c r="A119" s="38" t="s">
        <v>89</v>
      </c>
      <c r="B119" s="26" t="s">
        <v>90</v>
      </c>
      <c r="C119" s="27" t="s">
        <v>13</v>
      </c>
      <c r="D119" s="27" t="s">
        <v>13</v>
      </c>
      <c r="E119" s="27" t="s">
        <v>13</v>
      </c>
      <c r="F119" s="55">
        <f t="shared" ref="F119:M119" si="51">SUM(F121:F122)</f>
        <v>3300</v>
      </c>
      <c r="G119" s="55">
        <f t="shared" si="51"/>
        <v>3300</v>
      </c>
      <c r="H119" s="55">
        <f t="shared" si="51"/>
        <v>0</v>
      </c>
      <c r="I119" s="55">
        <f t="shared" si="51"/>
        <v>0</v>
      </c>
      <c r="J119" s="55">
        <f t="shared" si="51"/>
        <v>3299.1</v>
      </c>
      <c r="K119" s="55">
        <f t="shared" si="51"/>
        <v>3299.1</v>
      </c>
      <c r="L119" s="55">
        <f t="shared" si="51"/>
        <v>0</v>
      </c>
      <c r="M119" s="55">
        <f t="shared" si="51"/>
        <v>0</v>
      </c>
      <c r="N119" s="56">
        <f t="shared" si="43"/>
        <v>1</v>
      </c>
    </row>
    <row r="120" spans="1:14" ht="18.75">
      <c r="A120" s="44"/>
      <c r="B120" s="30" t="s">
        <v>16</v>
      </c>
      <c r="C120" s="29"/>
      <c r="D120" s="31"/>
      <c r="E120" s="39"/>
      <c r="F120" s="55"/>
      <c r="G120" s="55"/>
      <c r="H120" s="55"/>
      <c r="I120" s="55"/>
      <c r="J120" s="55"/>
      <c r="K120" s="55"/>
      <c r="L120" s="55"/>
      <c r="M120" s="55"/>
      <c r="N120" s="56"/>
    </row>
    <row r="121" spans="1:14" ht="49.5">
      <c r="A121" s="44"/>
      <c r="B121" s="32" t="s">
        <v>263</v>
      </c>
      <c r="C121" s="29">
        <v>804</v>
      </c>
      <c r="D121" s="31" t="s">
        <v>91</v>
      </c>
      <c r="E121" s="34" t="s">
        <v>262</v>
      </c>
      <c r="F121" s="55">
        <f>G121+H121+I121</f>
        <v>1300</v>
      </c>
      <c r="G121" s="57">
        <v>1300</v>
      </c>
      <c r="H121" s="57"/>
      <c r="I121" s="57"/>
      <c r="J121" s="55">
        <f>K121+L121+M121</f>
        <v>1299.0999999999999</v>
      </c>
      <c r="K121" s="57">
        <f>1270.1+8.7+20.3</f>
        <v>1299.0999999999999</v>
      </c>
      <c r="L121" s="57"/>
      <c r="M121" s="57"/>
      <c r="N121" s="58">
        <f t="shared" si="43"/>
        <v>0.999</v>
      </c>
    </row>
    <row r="122" spans="1:14" ht="66">
      <c r="A122" s="44"/>
      <c r="B122" s="32" t="s">
        <v>267</v>
      </c>
      <c r="C122" s="29">
        <v>804</v>
      </c>
      <c r="D122" s="31" t="s">
        <v>91</v>
      </c>
      <c r="E122" s="34" t="s">
        <v>266</v>
      </c>
      <c r="F122" s="55">
        <f>G122+H122+I122</f>
        <v>2000</v>
      </c>
      <c r="G122" s="57">
        <v>2000</v>
      </c>
      <c r="H122" s="57"/>
      <c r="I122" s="57"/>
      <c r="J122" s="55">
        <f>K122+L122+M122</f>
        <v>2000</v>
      </c>
      <c r="K122" s="57">
        <v>2000</v>
      </c>
      <c r="L122" s="57"/>
      <c r="M122" s="57"/>
      <c r="N122" s="58">
        <f t="shared" si="43"/>
        <v>1</v>
      </c>
    </row>
    <row r="123" spans="1:14" ht="33">
      <c r="A123" s="41" t="s">
        <v>92</v>
      </c>
      <c r="B123" s="15" t="s">
        <v>93</v>
      </c>
      <c r="C123" s="6" t="s">
        <v>13</v>
      </c>
      <c r="D123" s="6" t="s">
        <v>13</v>
      </c>
      <c r="E123" s="6" t="s">
        <v>13</v>
      </c>
      <c r="F123" s="59">
        <f t="shared" ref="F123:M123" si="52">SUM(F125:F131)</f>
        <v>36876.699999999997</v>
      </c>
      <c r="G123" s="55">
        <f t="shared" si="52"/>
        <v>30076.3</v>
      </c>
      <c r="H123" s="55">
        <f t="shared" ref="H123" si="53">SUM(H125:H131)</f>
        <v>6800.4</v>
      </c>
      <c r="I123" s="55">
        <f t="shared" si="52"/>
        <v>0</v>
      </c>
      <c r="J123" s="59">
        <f t="shared" si="52"/>
        <v>36394.1</v>
      </c>
      <c r="K123" s="55">
        <f t="shared" si="52"/>
        <v>29593.7</v>
      </c>
      <c r="L123" s="55">
        <f t="shared" si="52"/>
        <v>6800.4</v>
      </c>
      <c r="M123" s="55">
        <f t="shared" si="52"/>
        <v>0</v>
      </c>
      <c r="N123" s="56">
        <f t="shared" si="43"/>
        <v>0.98699999999999999</v>
      </c>
    </row>
    <row r="124" spans="1:14" ht="18.75">
      <c r="A124" s="42"/>
      <c r="B124" s="18" t="s">
        <v>16</v>
      </c>
      <c r="C124" s="7"/>
      <c r="D124" s="8"/>
      <c r="E124" s="10"/>
      <c r="F124" s="59"/>
      <c r="G124" s="55"/>
      <c r="H124" s="55"/>
      <c r="I124" s="55"/>
      <c r="J124" s="59"/>
      <c r="K124" s="55"/>
      <c r="L124" s="55"/>
      <c r="M124" s="55"/>
      <c r="N124" s="56"/>
    </row>
    <row r="125" spans="1:14" ht="75.75" customHeight="1">
      <c r="A125" s="44"/>
      <c r="B125" s="32" t="s">
        <v>94</v>
      </c>
      <c r="C125" s="29">
        <v>804</v>
      </c>
      <c r="D125" s="31" t="s">
        <v>91</v>
      </c>
      <c r="E125" s="34" t="s">
        <v>256</v>
      </c>
      <c r="F125" s="55">
        <f t="shared" ref="F125:F131" si="54">G125+H125+I125</f>
        <v>1595</v>
      </c>
      <c r="G125" s="57">
        <f>2600-0.02-1004.98</f>
        <v>1595</v>
      </c>
      <c r="H125" s="57"/>
      <c r="I125" s="57"/>
      <c r="J125" s="55">
        <f t="shared" ref="J125:J131" si="55">K125+L125+M125</f>
        <v>1595</v>
      </c>
      <c r="K125" s="57">
        <f>251.6+525.63+379.9+437.9</f>
        <v>1595</v>
      </c>
      <c r="L125" s="57"/>
      <c r="M125" s="57"/>
      <c r="N125" s="58">
        <f t="shared" si="43"/>
        <v>1</v>
      </c>
    </row>
    <row r="126" spans="1:14" ht="113.25" customHeight="1">
      <c r="A126" s="44"/>
      <c r="B126" s="32" t="s">
        <v>273</v>
      </c>
      <c r="C126" s="29">
        <v>804</v>
      </c>
      <c r="D126" s="31" t="s">
        <v>91</v>
      </c>
      <c r="E126" s="34" t="s">
        <v>272</v>
      </c>
      <c r="F126" s="55">
        <f t="shared" si="54"/>
        <v>9700</v>
      </c>
      <c r="G126" s="57">
        <v>9700</v>
      </c>
      <c r="H126" s="57"/>
      <c r="I126" s="57"/>
      <c r="J126" s="55">
        <f t="shared" si="55"/>
        <v>9700</v>
      </c>
      <c r="K126" s="57">
        <v>9700</v>
      </c>
      <c r="L126" s="57"/>
      <c r="M126" s="57"/>
      <c r="N126" s="58">
        <f t="shared" si="43"/>
        <v>1</v>
      </c>
    </row>
    <row r="127" spans="1:14" ht="150" customHeight="1">
      <c r="A127" s="44"/>
      <c r="B127" s="32" t="s">
        <v>95</v>
      </c>
      <c r="C127" s="29">
        <v>804</v>
      </c>
      <c r="D127" s="31" t="s">
        <v>91</v>
      </c>
      <c r="E127" s="34" t="s">
        <v>261</v>
      </c>
      <c r="F127" s="55">
        <f t="shared" si="54"/>
        <v>4475</v>
      </c>
      <c r="G127" s="57">
        <f>7819-3344.04</f>
        <v>4475</v>
      </c>
      <c r="H127" s="57"/>
      <c r="I127" s="57"/>
      <c r="J127" s="55">
        <f t="shared" si="55"/>
        <v>4475</v>
      </c>
      <c r="K127" s="57">
        <v>4475</v>
      </c>
      <c r="L127" s="57"/>
      <c r="M127" s="57"/>
      <c r="N127" s="58">
        <f t="shared" si="43"/>
        <v>1</v>
      </c>
    </row>
    <row r="128" spans="1:14" ht="42" customHeight="1">
      <c r="A128" s="44"/>
      <c r="B128" s="32" t="s">
        <v>265</v>
      </c>
      <c r="C128" s="29">
        <v>804</v>
      </c>
      <c r="D128" s="31" t="s">
        <v>91</v>
      </c>
      <c r="E128" s="34" t="s">
        <v>264</v>
      </c>
      <c r="F128" s="55">
        <f t="shared" si="54"/>
        <v>3440</v>
      </c>
      <c r="G128" s="57">
        <v>3440</v>
      </c>
      <c r="H128" s="57"/>
      <c r="I128" s="57"/>
      <c r="J128" s="55">
        <f t="shared" si="55"/>
        <v>3378.5</v>
      </c>
      <c r="K128" s="57">
        <f>3048+138.5+192</f>
        <v>3378.5</v>
      </c>
      <c r="L128" s="57"/>
      <c r="M128" s="57"/>
      <c r="N128" s="58">
        <f t="shared" si="43"/>
        <v>0.98199999999999998</v>
      </c>
    </row>
    <row r="129" spans="1:14" ht="80.25" customHeight="1">
      <c r="A129" s="44"/>
      <c r="B129" s="32" t="s">
        <v>161</v>
      </c>
      <c r="C129" s="29">
        <v>804</v>
      </c>
      <c r="D129" s="31" t="s">
        <v>91</v>
      </c>
      <c r="E129" s="34" t="s">
        <v>255</v>
      </c>
      <c r="F129" s="55">
        <f t="shared" si="54"/>
        <v>3460</v>
      </c>
      <c r="G129" s="57">
        <f>1630+1830</f>
        <v>3460</v>
      </c>
      <c r="H129" s="57"/>
      <c r="I129" s="57"/>
      <c r="J129" s="55">
        <f t="shared" si="55"/>
        <v>3304.3</v>
      </c>
      <c r="K129" s="57">
        <v>3304.3</v>
      </c>
      <c r="L129" s="57"/>
      <c r="M129" s="57"/>
      <c r="N129" s="58">
        <f t="shared" si="43"/>
        <v>0.95499999999999996</v>
      </c>
    </row>
    <row r="130" spans="1:14" ht="147" customHeight="1">
      <c r="A130" s="44"/>
      <c r="B130" s="32" t="s">
        <v>254</v>
      </c>
      <c r="C130" s="29">
        <v>804</v>
      </c>
      <c r="D130" s="31" t="s">
        <v>91</v>
      </c>
      <c r="E130" s="34" t="s">
        <v>253</v>
      </c>
      <c r="F130" s="55">
        <f t="shared" si="54"/>
        <v>7196</v>
      </c>
      <c r="G130" s="57">
        <v>7196</v>
      </c>
      <c r="H130" s="57"/>
      <c r="I130" s="57"/>
      <c r="J130" s="55">
        <f t="shared" si="55"/>
        <v>6930.6</v>
      </c>
      <c r="K130" s="57">
        <f>2300.8+2524+15.35+91.8+1998.68</f>
        <v>6930.6</v>
      </c>
      <c r="L130" s="57"/>
      <c r="M130" s="57"/>
      <c r="N130" s="58">
        <f t="shared" si="43"/>
        <v>0.96299999999999997</v>
      </c>
    </row>
    <row r="131" spans="1:14" ht="66">
      <c r="A131" s="44"/>
      <c r="B131" s="32" t="s">
        <v>248</v>
      </c>
      <c r="C131" s="29">
        <v>804</v>
      </c>
      <c r="D131" s="31" t="s">
        <v>91</v>
      </c>
      <c r="E131" s="34" t="s">
        <v>247</v>
      </c>
      <c r="F131" s="55">
        <f t="shared" si="54"/>
        <v>7010.7</v>
      </c>
      <c r="G131" s="57">
        <f>210.3+0.02</f>
        <v>210.3</v>
      </c>
      <c r="H131" s="57">
        <v>6800.4</v>
      </c>
      <c r="I131" s="57"/>
      <c r="J131" s="55">
        <f t="shared" si="55"/>
        <v>7010.7</v>
      </c>
      <c r="K131" s="57">
        <v>210.3</v>
      </c>
      <c r="L131" s="57">
        <v>6800.4</v>
      </c>
      <c r="M131" s="57"/>
      <c r="N131" s="58">
        <f t="shared" si="43"/>
        <v>1</v>
      </c>
    </row>
    <row r="132" spans="1:14" ht="33">
      <c r="A132" s="43" t="s">
        <v>96</v>
      </c>
      <c r="B132" s="22" t="s">
        <v>97</v>
      </c>
      <c r="C132" s="1" t="s">
        <v>13</v>
      </c>
      <c r="D132" s="1" t="s">
        <v>13</v>
      </c>
      <c r="E132" s="1" t="s">
        <v>13</v>
      </c>
      <c r="F132" s="53">
        <f t="shared" ref="F132:M132" si="56">F133+F137</f>
        <v>1227937.2</v>
      </c>
      <c r="G132" s="53">
        <f>G133+G137</f>
        <v>204695.4</v>
      </c>
      <c r="H132" s="53">
        <f t="shared" ref="H132" si="57">H133+H137</f>
        <v>889831</v>
      </c>
      <c r="I132" s="53">
        <f t="shared" si="56"/>
        <v>133410.79999999999</v>
      </c>
      <c r="J132" s="53">
        <f t="shared" si="56"/>
        <v>1104245.3</v>
      </c>
      <c r="K132" s="53">
        <f t="shared" si="56"/>
        <v>191605.8</v>
      </c>
      <c r="L132" s="53">
        <f t="shared" si="56"/>
        <v>787357</v>
      </c>
      <c r="M132" s="53">
        <f t="shared" si="56"/>
        <v>125282.5</v>
      </c>
      <c r="N132" s="54">
        <f t="shared" si="43"/>
        <v>0.89900000000000002</v>
      </c>
    </row>
    <row r="133" spans="1:14" ht="33">
      <c r="A133" s="41" t="s">
        <v>98</v>
      </c>
      <c r="B133" s="15" t="s">
        <v>99</v>
      </c>
      <c r="C133" s="6" t="s">
        <v>13</v>
      </c>
      <c r="D133" s="6" t="s">
        <v>13</v>
      </c>
      <c r="E133" s="6" t="s">
        <v>13</v>
      </c>
      <c r="F133" s="59">
        <f>SUM(F135:F136)</f>
        <v>472224.6</v>
      </c>
      <c r="G133" s="55">
        <f t="shared" ref="G133:M133" si="58">SUM(G135:G136)</f>
        <v>15583.9</v>
      </c>
      <c r="H133" s="55">
        <f t="shared" ref="H133" si="59">SUM(H135:H136)</f>
        <v>404751.1</v>
      </c>
      <c r="I133" s="55">
        <f t="shared" si="58"/>
        <v>51889.599999999999</v>
      </c>
      <c r="J133" s="59">
        <f t="shared" si="58"/>
        <v>440511.9</v>
      </c>
      <c r="K133" s="55">
        <f t="shared" si="58"/>
        <v>14874.2</v>
      </c>
      <c r="L133" s="55">
        <f t="shared" si="58"/>
        <v>381772.1</v>
      </c>
      <c r="M133" s="55">
        <f t="shared" si="58"/>
        <v>43865.599999999999</v>
      </c>
      <c r="N133" s="56">
        <f t="shared" si="43"/>
        <v>0.93300000000000005</v>
      </c>
    </row>
    <row r="134" spans="1:14" ht="18.75">
      <c r="A134" s="42"/>
      <c r="B134" s="16" t="s">
        <v>16</v>
      </c>
      <c r="C134" s="7"/>
      <c r="D134" s="7"/>
      <c r="E134" s="7"/>
      <c r="F134" s="59"/>
      <c r="G134" s="55"/>
      <c r="H134" s="55"/>
      <c r="I134" s="55"/>
      <c r="J134" s="59"/>
      <c r="K134" s="55"/>
      <c r="L134" s="55"/>
      <c r="M134" s="55"/>
      <c r="N134" s="56"/>
    </row>
    <row r="135" spans="1:14" ht="33">
      <c r="A135" s="42"/>
      <c r="B135" s="17" t="s">
        <v>100</v>
      </c>
      <c r="C135" s="7">
        <v>821</v>
      </c>
      <c r="D135" s="8" t="s">
        <v>20</v>
      </c>
      <c r="E135" s="7" t="s">
        <v>239</v>
      </c>
      <c r="F135" s="59">
        <f>G135+H135+I135</f>
        <v>438773.3</v>
      </c>
      <c r="G135" s="57">
        <f>91916.4-80000-4.8-227.72</f>
        <v>11683.9</v>
      </c>
      <c r="H135" s="57">
        <f>385296.8-155-7362.8</f>
        <v>377779</v>
      </c>
      <c r="I135" s="57">
        <v>49310.400000000001</v>
      </c>
      <c r="J135" s="59">
        <f>K135+L135+M135</f>
        <v>407060.6</v>
      </c>
      <c r="K135" s="57">
        <f>5413.4+159.47+9.47+385.94+312.33+1811.35+1708.1+1174.11</f>
        <v>10974.2</v>
      </c>
      <c r="L135" s="57">
        <f>37115.2+5368+39834.33+12658.71+29421.67+16039.06+11123.9+18422.05+1241.05+3553.01+256.53+5156.03+306.19+12478.71+10098.54+58566.97+55228.48+37931.54</f>
        <v>354800</v>
      </c>
      <c r="M135" s="57">
        <v>41286.400000000001</v>
      </c>
      <c r="N135" s="58">
        <f t="shared" si="43"/>
        <v>0.92800000000000005</v>
      </c>
    </row>
    <row r="136" spans="1:14" ht="66">
      <c r="A136" s="42"/>
      <c r="B136" s="17" t="s">
        <v>101</v>
      </c>
      <c r="C136" s="7">
        <v>821</v>
      </c>
      <c r="D136" s="8" t="s">
        <v>20</v>
      </c>
      <c r="E136" s="7" t="s">
        <v>311</v>
      </c>
      <c r="F136" s="59">
        <f>G136+H136+I136</f>
        <v>33451.300000000003</v>
      </c>
      <c r="G136" s="57">
        <v>3900</v>
      </c>
      <c r="H136" s="57">
        <v>26972.1</v>
      </c>
      <c r="I136" s="57">
        <v>2579.1999999999998</v>
      </c>
      <c r="J136" s="59">
        <f>K136+L136+M136</f>
        <v>33451.300000000003</v>
      </c>
      <c r="K136" s="57">
        <v>3900</v>
      </c>
      <c r="L136" s="57">
        <v>26972.1</v>
      </c>
      <c r="M136" s="57">
        <v>2579.1999999999998</v>
      </c>
      <c r="N136" s="58">
        <f t="shared" si="43"/>
        <v>1</v>
      </c>
    </row>
    <row r="137" spans="1:14" ht="49.5">
      <c r="A137" s="41" t="s">
        <v>102</v>
      </c>
      <c r="B137" s="15" t="s">
        <v>103</v>
      </c>
      <c r="C137" s="6" t="s">
        <v>13</v>
      </c>
      <c r="D137" s="6" t="s">
        <v>13</v>
      </c>
      <c r="E137" s="6" t="s">
        <v>13</v>
      </c>
      <c r="F137" s="59">
        <f>G137+H137+I137</f>
        <v>755712.6</v>
      </c>
      <c r="G137" s="55">
        <f>SUM(G139:G144)</f>
        <v>189111.5</v>
      </c>
      <c r="H137" s="55">
        <f t="shared" ref="H137" si="60">SUM(H139:H144)</f>
        <v>485079.9</v>
      </c>
      <c r="I137" s="55">
        <f>79936.3+1584.9</f>
        <v>81521.2</v>
      </c>
      <c r="J137" s="59">
        <f>K137+L137+M137</f>
        <v>663733.4</v>
      </c>
      <c r="K137" s="55">
        <f t="shared" ref="K137:L137" si="61">SUM(K139:K144)</f>
        <v>176731.6</v>
      </c>
      <c r="L137" s="55">
        <f t="shared" si="61"/>
        <v>405584.9</v>
      </c>
      <c r="M137" s="55">
        <f>79832+1584.9</f>
        <v>81416.899999999994</v>
      </c>
      <c r="N137" s="56">
        <f t="shared" si="43"/>
        <v>0.878</v>
      </c>
    </row>
    <row r="138" spans="1:14" ht="18.75">
      <c r="A138" s="41"/>
      <c r="B138" s="18" t="s">
        <v>16</v>
      </c>
      <c r="C138" s="6"/>
      <c r="D138" s="6"/>
      <c r="E138" s="6"/>
      <c r="F138" s="59"/>
      <c r="G138" s="55"/>
      <c r="H138" s="55"/>
      <c r="I138" s="55"/>
      <c r="J138" s="59"/>
      <c r="K138" s="55"/>
      <c r="L138" s="55"/>
      <c r="M138" s="55"/>
      <c r="N138" s="56"/>
    </row>
    <row r="139" spans="1:14" ht="66">
      <c r="A139" s="41"/>
      <c r="B139" s="17" t="s">
        <v>159</v>
      </c>
      <c r="C139" s="7">
        <v>821</v>
      </c>
      <c r="D139" s="8" t="s">
        <v>20</v>
      </c>
      <c r="E139" s="7" t="s">
        <v>240</v>
      </c>
      <c r="F139" s="59">
        <f t="shared" ref="F139:F144" si="62">G139+H139+I139</f>
        <v>485079.9</v>
      </c>
      <c r="G139" s="57"/>
      <c r="H139" s="57">
        <f>334399.9+145774.4+4905.61-0.01</f>
        <v>485079.9</v>
      </c>
      <c r="I139" s="57"/>
      <c r="J139" s="59">
        <f t="shared" ref="J139:J144" si="63">K139+L139+M139</f>
        <v>405584.9</v>
      </c>
      <c r="K139" s="57"/>
      <c r="L139" s="57">
        <f>323940.4+1397.54+3850.84+10792.98+2478.98+30833.34+32290.78</f>
        <v>405584.9</v>
      </c>
      <c r="M139" s="57"/>
      <c r="N139" s="58">
        <f t="shared" si="43"/>
        <v>0.83599999999999997</v>
      </c>
    </row>
    <row r="140" spans="1:14" ht="49.5">
      <c r="A140" s="41"/>
      <c r="B140" s="17" t="s">
        <v>353</v>
      </c>
      <c r="C140" s="7">
        <v>821</v>
      </c>
      <c r="D140" s="8" t="s">
        <v>20</v>
      </c>
      <c r="E140" s="7" t="s">
        <v>354</v>
      </c>
      <c r="F140" s="59">
        <f t="shared" si="62"/>
        <v>6868</v>
      </c>
      <c r="G140" s="57">
        <f>58766.5-8564.5-43334.03</f>
        <v>6868</v>
      </c>
      <c r="H140" s="57"/>
      <c r="I140" s="57"/>
      <c r="J140" s="59">
        <f t="shared" si="63"/>
        <v>6848.2</v>
      </c>
      <c r="K140" s="57">
        <f>118+6485.16+245</f>
        <v>6848.2</v>
      </c>
      <c r="L140" s="57"/>
      <c r="M140" s="57"/>
      <c r="N140" s="58">
        <f t="shared" si="43"/>
        <v>0.997</v>
      </c>
    </row>
    <row r="141" spans="1:14" ht="49.5">
      <c r="A141" s="41"/>
      <c r="B141" s="17" t="s">
        <v>386</v>
      </c>
      <c r="C141" s="7">
        <v>821</v>
      </c>
      <c r="D141" s="8" t="s">
        <v>20</v>
      </c>
      <c r="E141" s="7" t="s">
        <v>387</v>
      </c>
      <c r="F141" s="59">
        <f t="shared" si="62"/>
        <v>43334</v>
      </c>
      <c r="G141" s="57">
        <v>43334</v>
      </c>
      <c r="H141" s="57"/>
      <c r="I141" s="57"/>
      <c r="J141" s="59">
        <f t="shared" si="63"/>
        <v>37887</v>
      </c>
      <c r="K141" s="57">
        <f>8251.7+9722.64+8044.9+11867.71</f>
        <v>37887</v>
      </c>
      <c r="L141" s="57"/>
      <c r="M141" s="57"/>
      <c r="N141" s="58">
        <f t="shared" si="43"/>
        <v>0.874</v>
      </c>
    </row>
    <row r="142" spans="1:14" ht="49.5">
      <c r="A142" s="41"/>
      <c r="B142" s="17" t="s">
        <v>378</v>
      </c>
      <c r="C142" s="7">
        <v>821</v>
      </c>
      <c r="D142" s="8" t="s">
        <v>20</v>
      </c>
      <c r="E142" s="7" t="s">
        <v>377</v>
      </c>
      <c r="F142" s="59">
        <f t="shared" si="62"/>
        <v>600</v>
      </c>
      <c r="G142" s="57">
        <v>600</v>
      </c>
      <c r="H142" s="57"/>
      <c r="I142" s="57"/>
      <c r="J142" s="59">
        <f t="shared" si="63"/>
        <v>580</v>
      </c>
      <c r="K142" s="57">
        <v>580</v>
      </c>
      <c r="L142" s="57"/>
      <c r="M142" s="57"/>
      <c r="N142" s="58">
        <f t="shared" si="43"/>
        <v>0.96699999999999997</v>
      </c>
    </row>
    <row r="143" spans="1:14" ht="72" customHeight="1">
      <c r="A143" s="41"/>
      <c r="B143" s="17" t="s">
        <v>355</v>
      </c>
      <c r="C143" s="7">
        <v>821</v>
      </c>
      <c r="D143" s="8" t="s">
        <v>20</v>
      </c>
      <c r="E143" s="7" t="s">
        <v>356</v>
      </c>
      <c r="F143" s="59">
        <f t="shared" si="62"/>
        <v>123307</v>
      </c>
      <c r="G143" s="57">
        <v>123307</v>
      </c>
      <c r="H143" s="57"/>
      <c r="I143" s="57"/>
      <c r="J143" s="59">
        <f t="shared" si="63"/>
        <v>117299.8</v>
      </c>
      <c r="K143" s="57">
        <f>113260.8+955+3083.97</f>
        <v>117299.8</v>
      </c>
      <c r="L143" s="57"/>
      <c r="M143" s="57"/>
      <c r="N143" s="58">
        <f t="shared" si="43"/>
        <v>0.95099999999999996</v>
      </c>
    </row>
    <row r="144" spans="1:14" ht="44.25" customHeight="1">
      <c r="A144" s="42"/>
      <c r="B144" s="17" t="s">
        <v>160</v>
      </c>
      <c r="C144" s="7">
        <v>821</v>
      </c>
      <c r="D144" s="8" t="s">
        <v>20</v>
      </c>
      <c r="E144" s="7" t="s">
        <v>309</v>
      </c>
      <c r="F144" s="59">
        <f t="shared" si="62"/>
        <v>15002.5</v>
      </c>
      <c r="G144" s="57">
        <f>197076+0.01-182073.53</f>
        <v>15002.5</v>
      </c>
      <c r="H144" s="57"/>
      <c r="I144" s="57"/>
      <c r="J144" s="59">
        <f t="shared" si="63"/>
        <v>14116.6</v>
      </c>
      <c r="K144" s="57">
        <f>10018.77+42.23+119.1+333.8+77.66+953.61+2571.46</f>
        <v>14116.6</v>
      </c>
      <c r="L144" s="57"/>
      <c r="M144" s="57"/>
      <c r="N144" s="58">
        <f t="shared" si="43"/>
        <v>0.94099999999999995</v>
      </c>
    </row>
    <row r="145" spans="1:14" ht="18.75">
      <c r="A145" s="43" t="s">
        <v>104</v>
      </c>
      <c r="B145" s="21" t="s">
        <v>105</v>
      </c>
      <c r="C145" s="1" t="s">
        <v>13</v>
      </c>
      <c r="D145" s="1" t="s">
        <v>13</v>
      </c>
      <c r="E145" s="1" t="s">
        <v>13</v>
      </c>
      <c r="F145" s="53">
        <f t="shared" ref="F145:M145" si="64">F146+F151+F155+F161+F164</f>
        <v>352733.4</v>
      </c>
      <c r="G145" s="53">
        <f t="shared" si="64"/>
        <v>149352.6</v>
      </c>
      <c r="H145" s="53">
        <f t="shared" si="64"/>
        <v>184654.1</v>
      </c>
      <c r="I145" s="53">
        <f t="shared" si="64"/>
        <v>18726.7</v>
      </c>
      <c r="J145" s="53">
        <f t="shared" si="64"/>
        <v>336009.3</v>
      </c>
      <c r="K145" s="53">
        <f t="shared" si="64"/>
        <v>145627.5</v>
      </c>
      <c r="L145" s="53">
        <f t="shared" si="64"/>
        <v>172796</v>
      </c>
      <c r="M145" s="53">
        <f t="shared" si="64"/>
        <v>17585.8</v>
      </c>
      <c r="N145" s="54">
        <f t="shared" si="43"/>
        <v>0.95299999999999996</v>
      </c>
    </row>
    <row r="146" spans="1:14" ht="33">
      <c r="A146" s="41" t="s">
        <v>106</v>
      </c>
      <c r="B146" s="15" t="s">
        <v>107</v>
      </c>
      <c r="C146" s="6" t="s">
        <v>13</v>
      </c>
      <c r="D146" s="6" t="s">
        <v>13</v>
      </c>
      <c r="E146" s="6" t="s">
        <v>13</v>
      </c>
      <c r="F146" s="59">
        <f t="shared" ref="F146:M146" si="65">SUM(F148:F150)</f>
        <v>73174</v>
      </c>
      <c r="G146" s="55">
        <f t="shared" si="65"/>
        <v>1629.1</v>
      </c>
      <c r="H146" s="55">
        <f t="shared" si="65"/>
        <v>71544.899999999994</v>
      </c>
      <c r="I146" s="55">
        <f t="shared" si="65"/>
        <v>0</v>
      </c>
      <c r="J146" s="59">
        <f t="shared" si="65"/>
        <v>73058.5</v>
      </c>
      <c r="K146" s="55">
        <f t="shared" si="65"/>
        <v>1513.6</v>
      </c>
      <c r="L146" s="55">
        <f t="shared" si="65"/>
        <v>71544.899999999994</v>
      </c>
      <c r="M146" s="55">
        <f t="shared" si="65"/>
        <v>0</v>
      </c>
      <c r="N146" s="56">
        <f t="shared" si="43"/>
        <v>0.998</v>
      </c>
    </row>
    <row r="147" spans="1:14" ht="18.75">
      <c r="A147" s="42"/>
      <c r="B147" s="16" t="s">
        <v>16</v>
      </c>
      <c r="C147" s="7"/>
      <c r="D147" s="7"/>
      <c r="E147" s="7"/>
      <c r="F147" s="59"/>
      <c r="G147" s="55"/>
      <c r="H147" s="55"/>
      <c r="I147" s="55"/>
      <c r="J147" s="59"/>
      <c r="K147" s="55"/>
      <c r="L147" s="55"/>
      <c r="M147" s="55"/>
      <c r="N147" s="56"/>
    </row>
    <row r="148" spans="1:14" ht="33">
      <c r="A148" s="42"/>
      <c r="B148" s="19" t="s">
        <v>108</v>
      </c>
      <c r="C148" s="7">
        <v>838</v>
      </c>
      <c r="D148" s="8" t="s">
        <v>109</v>
      </c>
      <c r="E148" s="7" t="s">
        <v>242</v>
      </c>
      <c r="F148" s="59">
        <f>G148+H148+I148</f>
        <v>18806.099999999999</v>
      </c>
      <c r="G148" s="57"/>
      <c r="H148" s="57">
        <v>18806.099999999999</v>
      </c>
      <c r="I148" s="57"/>
      <c r="J148" s="59">
        <f>K148+L148+M148</f>
        <v>18806.099999999999</v>
      </c>
      <c r="K148" s="57"/>
      <c r="L148" s="57">
        <f>3663.8+1943.2+2209.5+2213.7+8775.89</f>
        <v>18806.099999999999</v>
      </c>
      <c r="M148" s="57"/>
      <c r="N148" s="58">
        <f t="shared" si="43"/>
        <v>1</v>
      </c>
    </row>
    <row r="149" spans="1:14" ht="116.25" customHeight="1">
      <c r="A149" s="42"/>
      <c r="B149" s="17" t="s">
        <v>110</v>
      </c>
      <c r="C149" s="7">
        <v>838</v>
      </c>
      <c r="D149" s="8" t="s">
        <v>109</v>
      </c>
      <c r="E149" s="7" t="s">
        <v>243</v>
      </c>
      <c r="F149" s="59">
        <f>G149+H149+I149</f>
        <v>11527.8</v>
      </c>
      <c r="G149" s="57">
        <v>344.2</v>
      </c>
      <c r="H149" s="57">
        <f>11130.7+52.9</f>
        <v>11183.6</v>
      </c>
      <c r="I149" s="57"/>
      <c r="J149" s="59">
        <f>K149+L149+M149</f>
        <v>11496.5</v>
      </c>
      <c r="K149" s="57">
        <v>312.89999999999998</v>
      </c>
      <c r="L149" s="57">
        <f>9059.7+681.81+1387.56+54.53</f>
        <v>11183.6</v>
      </c>
      <c r="M149" s="57"/>
      <c r="N149" s="58">
        <f t="shared" si="43"/>
        <v>0.997</v>
      </c>
    </row>
    <row r="150" spans="1:14" ht="90.75" customHeight="1">
      <c r="A150" s="42"/>
      <c r="B150" s="17" t="s">
        <v>111</v>
      </c>
      <c r="C150" s="7">
        <v>838</v>
      </c>
      <c r="D150" s="8" t="s">
        <v>109</v>
      </c>
      <c r="E150" s="7" t="s">
        <v>244</v>
      </c>
      <c r="F150" s="59">
        <f>G150+H150+I150</f>
        <v>42840.1</v>
      </c>
      <c r="G150" s="57">
        <v>1284.9000000000001</v>
      </c>
      <c r="H150" s="57">
        <f>41545.2+10</f>
        <v>41555.199999999997</v>
      </c>
      <c r="I150" s="57"/>
      <c r="J150" s="59">
        <f>K150+L150+M150</f>
        <v>42755.9</v>
      </c>
      <c r="K150" s="57">
        <f>61.8+502.24+289+347.66</f>
        <v>1200.7</v>
      </c>
      <c r="L150" s="57">
        <f>6666.1+16169+8396.9+8145.33+2177.87</f>
        <v>41555.199999999997</v>
      </c>
      <c r="M150" s="57"/>
      <c r="N150" s="58">
        <f t="shared" si="43"/>
        <v>0.998</v>
      </c>
    </row>
    <row r="151" spans="1:14" ht="18.75">
      <c r="A151" s="41" t="s">
        <v>112</v>
      </c>
      <c r="B151" s="15" t="s">
        <v>113</v>
      </c>
      <c r="C151" s="6" t="s">
        <v>13</v>
      </c>
      <c r="D151" s="6" t="s">
        <v>13</v>
      </c>
      <c r="E151" s="6" t="s">
        <v>13</v>
      </c>
      <c r="F151" s="59">
        <f t="shared" ref="F151:M151" si="66">F153+F154</f>
        <v>123427.5</v>
      </c>
      <c r="G151" s="55">
        <f t="shared" si="66"/>
        <v>101415.4</v>
      </c>
      <c r="H151" s="55">
        <f t="shared" si="66"/>
        <v>8944.7000000000007</v>
      </c>
      <c r="I151" s="55">
        <f t="shared" si="66"/>
        <v>13067.4</v>
      </c>
      <c r="J151" s="59">
        <f t="shared" si="66"/>
        <v>123427.5</v>
      </c>
      <c r="K151" s="55">
        <f t="shared" si="66"/>
        <v>101415.4</v>
      </c>
      <c r="L151" s="55">
        <f t="shared" si="66"/>
        <v>8944.7000000000007</v>
      </c>
      <c r="M151" s="55">
        <f t="shared" si="66"/>
        <v>13067.4</v>
      </c>
      <c r="N151" s="56">
        <f t="shared" si="43"/>
        <v>1</v>
      </c>
    </row>
    <row r="152" spans="1:14" ht="18.75">
      <c r="A152" s="42"/>
      <c r="B152" s="16" t="s">
        <v>16</v>
      </c>
      <c r="C152" s="7"/>
      <c r="D152" s="7"/>
      <c r="E152" s="7"/>
      <c r="F152" s="59"/>
      <c r="G152" s="55"/>
      <c r="H152" s="55"/>
      <c r="I152" s="55"/>
      <c r="J152" s="59"/>
      <c r="K152" s="55"/>
      <c r="L152" s="55"/>
      <c r="M152" s="55"/>
      <c r="N152" s="56"/>
    </row>
    <row r="153" spans="1:14" ht="33">
      <c r="A153" s="42"/>
      <c r="B153" s="17" t="s">
        <v>114</v>
      </c>
      <c r="C153" s="7">
        <v>828</v>
      </c>
      <c r="D153" s="8" t="s">
        <v>115</v>
      </c>
      <c r="E153" s="7" t="s">
        <v>246</v>
      </c>
      <c r="F153" s="59">
        <f>G153+H153+I153</f>
        <v>72049.100000000006</v>
      </c>
      <c r="G153" s="57">
        <v>50037</v>
      </c>
      <c r="H153" s="57">
        <v>8944.7000000000007</v>
      </c>
      <c r="I153" s="57">
        <v>13067.4</v>
      </c>
      <c r="J153" s="59">
        <f>K153+L153+M153</f>
        <v>72049.100000000006</v>
      </c>
      <c r="K153" s="57">
        <f>865.8+19586.73+6431.89+1796.65+21355.92</f>
        <v>50037</v>
      </c>
      <c r="L153" s="57">
        <f>154.8+3501.36+1149.78+321.17+3817.62</f>
        <v>8944.7000000000007</v>
      </c>
      <c r="M153" s="57">
        <v>13067.4</v>
      </c>
      <c r="N153" s="58">
        <f t="shared" si="43"/>
        <v>1</v>
      </c>
    </row>
    <row r="154" spans="1:14" ht="82.5">
      <c r="A154" s="42"/>
      <c r="B154" s="17" t="s">
        <v>317</v>
      </c>
      <c r="C154" s="7">
        <v>828</v>
      </c>
      <c r="D154" s="8" t="s">
        <v>115</v>
      </c>
      <c r="E154" s="7" t="s">
        <v>316</v>
      </c>
      <c r="F154" s="59">
        <f>G154+H154+I154</f>
        <v>51378.400000000001</v>
      </c>
      <c r="G154" s="57">
        <v>51378.400000000001</v>
      </c>
      <c r="H154" s="57"/>
      <c r="I154" s="57"/>
      <c r="J154" s="59">
        <f>K154+L154+M154</f>
        <v>51378.400000000001</v>
      </c>
      <c r="K154" s="57">
        <f>24969.3+1240.2+1918.81+276.42+2112.47+5077.08+3560.79+2746.34+2411.33+1187.26+5878.41</f>
        <v>51378.400000000001</v>
      </c>
      <c r="L154" s="57"/>
      <c r="M154" s="57"/>
      <c r="N154" s="58">
        <f t="shared" si="43"/>
        <v>1</v>
      </c>
    </row>
    <row r="155" spans="1:14" ht="49.5">
      <c r="A155" s="41" t="s">
        <v>116</v>
      </c>
      <c r="B155" s="15" t="s">
        <v>117</v>
      </c>
      <c r="C155" s="6" t="s">
        <v>13</v>
      </c>
      <c r="D155" s="6" t="s">
        <v>13</v>
      </c>
      <c r="E155" s="6" t="s">
        <v>13</v>
      </c>
      <c r="F155" s="59">
        <f t="shared" ref="F155:M155" si="67">SUM(F157:F160)</f>
        <v>77827.100000000006</v>
      </c>
      <c r="G155" s="59">
        <f t="shared" si="67"/>
        <v>33118</v>
      </c>
      <c r="H155" s="59">
        <f t="shared" si="67"/>
        <v>42221.599999999999</v>
      </c>
      <c r="I155" s="59">
        <f t="shared" si="67"/>
        <v>2487.5</v>
      </c>
      <c r="J155" s="59">
        <f t="shared" si="67"/>
        <v>75687.399999999994</v>
      </c>
      <c r="K155" s="59">
        <f t="shared" si="67"/>
        <v>33067.699999999997</v>
      </c>
      <c r="L155" s="59">
        <f t="shared" si="67"/>
        <v>40741.699999999997</v>
      </c>
      <c r="M155" s="59">
        <f t="shared" si="67"/>
        <v>1878</v>
      </c>
      <c r="N155" s="62">
        <f t="shared" si="43"/>
        <v>0.97299999999999998</v>
      </c>
    </row>
    <row r="156" spans="1:14" ht="18.75">
      <c r="A156" s="42"/>
      <c r="B156" s="16" t="s">
        <v>16</v>
      </c>
      <c r="C156" s="7"/>
      <c r="D156" s="7"/>
      <c r="E156" s="7"/>
      <c r="F156" s="59"/>
      <c r="G156" s="55"/>
      <c r="H156" s="55"/>
      <c r="I156" s="55"/>
      <c r="J156" s="59"/>
      <c r="K156" s="55"/>
      <c r="L156" s="55"/>
      <c r="M156" s="55"/>
      <c r="N156" s="56"/>
    </row>
    <row r="157" spans="1:14" ht="183" customHeight="1">
      <c r="A157" s="42"/>
      <c r="B157" s="17" t="s">
        <v>373</v>
      </c>
      <c r="C157" s="7">
        <v>810</v>
      </c>
      <c r="D157" s="8" t="s">
        <v>118</v>
      </c>
      <c r="E157" s="7" t="s">
        <v>372</v>
      </c>
      <c r="F157" s="59">
        <f>G157+H157+I157</f>
        <v>15518</v>
      </c>
      <c r="G157" s="57">
        <f>22822.3-7304.3</f>
        <v>15518</v>
      </c>
      <c r="H157" s="57"/>
      <c r="I157" s="57"/>
      <c r="J157" s="59">
        <f>K157+L157+M157</f>
        <v>15518</v>
      </c>
      <c r="K157" s="57">
        <f>14284.6+1233.4</f>
        <v>15518</v>
      </c>
      <c r="L157" s="57"/>
      <c r="M157" s="57"/>
      <c r="N157" s="58">
        <f t="shared" si="43"/>
        <v>1</v>
      </c>
    </row>
    <row r="158" spans="1:14" ht="183" customHeight="1">
      <c r="A158" s="42"/>
      <c r="B158" s="17" t="s">
        <v>379</v>
      </c>
      <c r="C158" s="7">
        <v>810</v>
      </c>
      <c r="D158" s="8" t="s">
        <v>118</v>
      </c>
      <c r="E158" s="7" t="s">
        <v>380</v>
      </c>
      <c r="F158" s="59">
        <f>G158+H158+I158</f>
        <v>10000</v>
      </c>
      <c r="G158" s="57">
        <v>10000</v>
      </c>
      <c r="H158" s="57"/>
      <c r="I158" s="57"/>
      <c r="J158" s="59">
        <f>K158+L158+M158</f>
        <v>10000</v>
      </c>
      <c r="K158" s="57">
        <v>10000</v>
      </c>
      <c r="L158" s="57"/>
      <c r="M158" s="57"/>
      <c r="N158" s="58">
        <f t="shared" si="43"/>
        <v>1</v>
      </c>
    </row>
    <row r="159" spans="1:14" ht="86.25" customHeight="1">
      <c r="A159" s="42"/>
      <c r="B159" s="17" t="s">
        <v>360</v>
      </c>
      <c r="C159" s="7">
        <v>810</v>
      </c>
      <c r="D159" s="8" t="s">
        <v>118</v>
      </c>
      <c r="E159" s="7" t="s">
        <v>361</v>
      </c>
      <c r="F159" s="59">
        <f>G159+H159+I159</f>
        <v>10087.5</v>
      </c>
      <c r="G159" s="57">
        <v>7600</v>
      </c>
      <c r="H159" s="57"/>
      <c r="I159" s="57">
        <v>2487.5</v>
      </c>
      <c r="J159" s="59">
        <f>K159+L159+M159</f>
        <v>9427.7000000000007</v>
      </c>
      <c r="K159" s="57">
        <v>7549.7</v>
      </c>
      <c r="L159" s="57"/>
      <c r="M159" s="57">
        <v>1878</v>
      </c>
      <c r="N159" s="58">
        <f t="shared" ref="N159:N207" si="68">J159/F159</f>
        <v>0.93500000000000005</v>
      </c>
    </row>
    <row r="160" spans="1:14" ht="180" customHeight="1">
      <c r="A160" s="42"/>
      <c r="B160" s="17" t="s">
        <v>357</v>
      </c>
      <c r="C160" s="7" t="s">
        <v>358</v>
      </c>
      <c r="D160" s="8" t="s">
        <v>118</v>
      </c>
      <c r="E160" s="7" t="s">
        <v>359</v>
      </c>
      <c r="F160" s="59">
        <f>G160+H160+I160</f>
        <v>42221.599999999999</v>
      </c>
      <c r="G160" s="57">
        <f>7177.7-7177.7</f>
        <v>0</v>
      </c>
      <c r="H160" s="57">
        <v>42221.599999999999</v>
      </c>
      <c r="I160" s="57"/>
      <c r="J160" s="59">
        <f>K160+L160+M160</f>
        <v>40741.699999999997</v>
      </c>
      <c r="K160" s="57"/>
      <c r="L160" s="57">
        <f>22389.5+13580.56+4771.63</f>
        <v>40741.699999999997</v>
      </c>
      <c r="M160" s="57"/>
      <c r="N160" s="58">
        <f t="shared" si="68"/>
        <v>0.96499999999999997</v>
      </c>
    </row>
    <row r="161" spans="1:14" ht="33">
      <c r="A161" s="41" t="s">
        <v>119</v>
      </c>
      <c r="B161" s="15" t="s">
        <v>120</v>
      </c>
      <c r="C161" s="6" t="s">
        <v>13</v>
      </c>
      <c r="D161" s="6" t="s">
        <v>13</v>
      </c>
      <c r="E161" s="6" t="s">
        <v>13</v>
      </c>
      <c r="F161" s="59">
        <f t="shared" ref="F161:M161" si="69">F163</f>
        <v>3674.8</v>
      </c>
      <c r="G161" s="55">
        <f t="shared" si="69"/>
        <v>3674.8</v>
      </c>
      <c r="H161" s="55">
        <f t="shared" si="69"/>
        <v>0</v>
      </c>
      <c r="I161" s="55">
        <f t="shared" si="69"/>
        <v>0</v>
      </c>
      <c r="J161" s="59">
        <f t="shared" si="69"/>
        <v>1709.7</v>
      </c>
      <c r="K161" s="55">
        <f t="shared" si="69"/>
        <v>1709.7</v>
      </c>
      <c r="L161" s="55">
        <f t="shared" si="69"/>
        <v>0</v>
      </c>
      <c r="M161" s="55">
        <f t="shared" si="69"/>
        <v>0</v>
      </c>
      <c r="N161" s="56">
        <f t="shared" si="68"/>
        <v>0.46500000000000002</v>
      </c>
    </row>
    <row r="162" spans="1:14" ht="18.75">
      <c r="A162" s="42"/>
      <c r="B162" s="16" t="s">
        <v>16</v>
      </c>
      <c r="C162" s="7"/>
      <c r="D162" s="7"/>
      <c r="E162" s="7"/>
      <c r="F162" s="59"/>
      <c r="G162" s="55"/>
      <c r="H162" s="55"/>
      <c r="I162" s="55"/>
      <c r="J162" s="59"/>
      <c r="K162" s="55"/>
      <c r="L162" s="55"/>
      <c r="M162" s="55"/>
      <c r="N162" s="56"/>
    </row>
    <row r="163" spans="1:14" ht="33">
      <c r="A163" s="42"/>
      <c r="B163" s="17" t="s">
        <v>121</v>
      </c>
      <c r="C163" s="7">
        <v>810</v>
      </c>
      <c r="D163" s="8" t="s">
        <v>118</v>
      </c>
      <c r="E163" s="7" t="s">
        <v>241</v>
      </c>
      <c r="F163" s="59">
        <f>G163+H163+I163</f>
        <v>3674.8</v>
      </c>
      <c r="G163" s="57">
        <f>4762.2-1087.4</f>
        <v>3674.8</v>
      </c>
      <c r="H163" s="57"/>
      <c r="I163" s="57"/>
      <c r="J163" s="59">
        <f>K163+L163+M163</f>
        <v>1709.7</v>
      </c>
      <c r="K163" s="57">
        <f>888+821.7</f>
        <v>1709.7</v>
      </c>
      <c r="L163" s="57"/>
      <c r="M163" s="57"/>
      <c r="N163" s="58">
        <f t="shared" si="68"/>
        <v>0.46500000000000002</v>
      </c>
    </row>
    <row r="164" spans="1:14" s="47" customFormat="1" ht="18.75">
      <c r="A164" s="38" t="s">
        <v>249</v>
      </c>
      <c r="B164" s="26" t="s">
        <v>250</v>
      </c>
      <c r="C164" s="27" t="s">
        <v>13</v>
      </c>
      <c r="D164" s="40" t="s">
        <v>13</v>
      </c>
      <c r="E164" s="27" t="s">
        <v>13</v>
      </c>
      <c r="F164" s="55">
        <f t="shared" ref="F164:M164" si="70">F166</f>
        <v>74630</v>
      </c>
      <c r="G164" s="55">
        <f t="shared" si="70"/>
        <v>9515.2999999999993</v>
      </c>
      <c r="H164" s="55">
        <f t="shared" si="70"/>
        <v>61942.9</v>
      </c>
      <c r="I164" s="55">
        <f t="shared" si="70"/>
        <v>3171.8</v>
      </c>
      <c r="J164" s="55">
        <f t="shared" si="70"/>
        <v>62126.2</v>
      </c>
      <c r="K164" s="55">
        <f t="shared" si="70"/>
        <v>7921.1</v>
      </c>
      <c r="L164" s="55">
        <f t="shared" si="70"/>
        <v>51564.7</v>
      </c>
      <c r="M164" s="55">
        <f t="shared" si="70"/>
        <v>2640.4</v>
      </c>
      <c r="N164" s="56">
        <f t="shared" si="68"/>
        <v>0.83199999999999996</v>
      </c>
    </row>
    <row r="165" spans="1:14" ht="18.75">
      <c r="A165" s="42"/>
      <c r="B165" s="16" t="s">
        <v>16</v>
      </c>
      <c r="C165" s="7"/>
      <c r="D165" s="8"/>
      <c r="E165" s="7"/>
      <c r="F165" s="59"/>
      <c r="G165" s="55"/>
      <c r="H165" s="55"/>
      <c r="I165" s="55"/>
      <c r="J165" s="59"/>
      <c r="K165" s="55"/>
      <c r="L165" s="55"/>
      <c r="M165" s="55"/>
      <c r="N165" s="56"/>
    </row>
    <row r="166" spans="1:14" ht="66">
      <c r="A166" s="42"/>
      <c r="B166" s="17" t="s">
        <v>252</v>
      </c>
      <c r="C166" s="7">
        <v>810</v>
      </c>
      <c r="D166" s="8" t="s">
        <v>118</v>
      </c>
      <c r="E166" s="7" t="s">
        <v>251</v>
      </c>
      <c r="F166" s="59">
        <f>G166+H166+I166</f>
        <v>74630</v>
      </c>
      <c r="G166" s="57">
        <v>9515.2999999999993</v>
      </c>
      <c r="H166" s="57">
        <v>61942.9</v>
      </c>
      <c r="I166" s="57">
        <v>3171.8</v>
      </c>
      <c r="J166" s="59">
        <f>K166+L166+M166</f>
        <v>62126.2</v>
      </c>
      <c r="K166" s="57">
        <f>2597.2+5323.89</f>
        <v>7921.1</v>
      </c>
      <c r="L166" s="57">
        <f>12680.3+38884.36</f>
        <v>51564.7</v>
      </c>
      <c r="M166" s="57">
        <v>2640.4</v>
      </c>
      <c r="N166" s="58">
        <f t="shared" si="68"/>
        <v>0.83199999999999996</v>
      </c>
    </row>
    <row r="167" spans="1:14" ht="33">
      <c r="A167" s="43" t="s">
        <v>122</v>
      </c>
      <c r="B167" s="22" t="s">
        <v>123</v>
      </c>
      <c r="C167" s="1" t="s">
        <v>13</v>
      </c>
      <c r="D167" s="1" t="s">
        <v>13</v>
      </c>
      <c r="E167" s="1" t="s">
        <v>13</v>
      </c>
      <c r="F167" s="53">
        <f t="shared" ref="F167:M167" si="71">F168+F177+F172</f>
        <v>3856944.8</v>
      </c>
      <c r="G167" s="53">
        <f t="shared" si="71"/>
        <v>2238244.7999999998</v>
      </c>
      <c r="H167" s="53">
        <f t="shared" si="71"/>
        <v>1350000</v>
      </c>
      <c r="I167" s="53">
        <f t="shared" si="71"/>
        <v>268700</v>
      </c>
      <c r="J167" s="53">
        <f t="shared" si="71"/>
        <v>3831110.5</v>
      </c>
      <c r="K167" s="53">
        <f t="shared" si="71"/>
        <v>2215833</v>
      </c>
      <c r="L167" s="53">
        <f t="shared" si="71"/>
        <v>1349000.5</v>
      </c>
      <c r="M167" s="53">
        <f t="shared" si="71"/>
        <v>266277</v>
      </c>
      <c r="N167" s="54">
        <f t="shared" si="68"/>
        <v>0.99299999999999999</v>
      </c>
    </row>
    <row r="168" spans="1:14" ht="18.75">
      <c r="A168" s="41" t="s">
        <v>124</v>
      </c>
      <c r="B168" s="15" t="s">
        <v>125</v>
      </c>
      <c r="C168" s="6" t="s">
        <v>13</v>
      </c>
      <c r="D168" s="6" t="s">
        <v>13</v>
      </c>
      <c r="E168" s="6" t="s">
        <v>13</v>
      </c>
      <c r="F168" s="59">
        <f>SUM(F170:F171)</f>
        <v>3834765.9</v>
      </c>
      <c r="G168" s="59">
        <f t="shared" ref="G168:M168" si="72">SUM(G170:G171)</f>
        <v>2216065.9</v>
      </c>
      <c r="H168" s="59">
        <f t="shared" si="72"/>
        <v>1350000</v>
      </c>
      <c r="I168" s="59">
        <f t="shared" si="72"/>
        <v>268700</v>
      </c>
      <c r="J168" s="59">
        <f t="shared" si="72"/>
        <v>3827809.1</v>
      </c>
      <c r="K168" s="59">
        <f t="shared" si="72"/>
        <v>2212531.6</v>
      </c>
      <c r="L168" s="59">
        <f t="shared" si="72"/>
        <v>1349000.5</v>
      </c>
      <c r="M168" s="59">
        <f t="shared" si="72"/>
        <v>266277</v>
      </c>
      <c r="N168" s="62">
        <f t="shared" si="68"/>
        <v>0.998</v>
      </c>
    </row>
    <row r="169" spans="1:14" ht="18.75">
      <c r="A169" s="42"/>
      <c r="B169" s="16" t="s">
        <v>16</v>
      </c>
      <c r="C169" s="7"/>
      <c r="D169" s="7"/>
      <c r="E169" s="7"/>
      <c r="F169" s="59"/>
      <c r="G169" s="55"/>
      <c r="H169" s="55"/>
      <c r="I169" s="55"/>
      <c r="J169" s="59"/>
      <c r="K169" s="55"/>
      <c r="L169" s="55"/>
      <c r="M169" s="55"/>
      <c r="N169" s="56"/>
    </row>
    <row r="170" spans="1:14" ht="66">
      <c r="A170" s="42"/>
      <c r="B170" s="17" t="s">
        <v>126</v>
      </c>
      <c r="C170" s="7">
        <v>822</v>
      </c>
      <c r="D170" s="8" t="s">
        <v>127</v>
      </c>
      <c r="E170" s="7" t="s">
        <v>245</v>
      </c>
      <c r="F170" s="59">
        <f>G170+H170+I170</f>
        <v>3494765.9</v>
      </c>
      <c r="G170" s="57">
        <f>2164904.3+45359+27908.4-22105.77</f>
        <v>2216065.9</v>
      </c>
      <c r="H170" s="57">
        <v>1010000</v>
      </c>
      <c r="I170" s="57">
        <v>268700</v>
      </c>
      <c r="J170" s="59">
        <f>K170+L170+M170</f>
        <v>3487809.1</v>
      </c>
      <c r="K170" s="57">
        <f>2187979.1+21637.83+1951.64+2074.36+2423-1851.64-1682.71</f>
        <v>2212531.6</v>
      </c>
      <c r="L170" s="57">
        <f>594826.9+134177.29+160000+55394.71+9593.2+53171.01-1477.52-999.51+4314.38</f>
        <v>1009000.5</v>
      </c>
      <c r="M170" s="57">
        <v>266277</v>
      </c>
      <c r="N170" s="58">
        <f t="shared" si="68"/>
        <v>0.998</v>
      </c>
    </row>
    <row r="171" spans="1:14" ht="49.5">
      <c r="A171" s="42"/>
      <c r="B171" s="17" t="s">
        <v>375</v>
      </c>
      <c r="C171" s="7">
        <v>822</v>
      </c>
      <c r="D171" s="8" t="s">
        <v>127</v>
      </c>
      <c r="E171" s="7" t="s">
        <v>376</v>
      </c>
      <c r="F171" s="59">
        <f>G171+H171+I171</f>
        <v>340000</v>
      </c>
      <c r="G171" s="57"/>
      <c r="H171" s="57">
        <v>340000</v>
      </c>
      <c r="I171" s="57"/>
      <c r="J171" s="59">
        <f>K171+L171+M171</f>
        <v>340000</v>
      </c>
      <c r="K171" s="57"/>
      <c r="L171" s="57">
        <f>25614+60996.7+253389.29-15273.91+15273.91</f>
        <v>340000</v>
      </c>
      <c r="M171" s="57"/>
      <c r="N171" s="58">
        <f t="shared" si="68"/>
        <v>1</v>
      </c>
    </row>
    <row r="172" spans="1:14" ht="33">
      <c r="A172" s="41" t="s">
        <v>320</v>
      </c>
      <c r="B172" s="15" t="s">
        <v>340</v>
      </c>
      <c r="C172" s="6" t="s">
        <v>13</v>
      </c>
      <c r="D172" s="6" t="s">
        <v>13</v>
      </c>
      <c r="E172" s="6" t="s">
        <v>13</v>
      </c>
      <c r="F172" s="59">
        <f t="shared" ref="F172:M172" si="73">SUM(F174:F176)</f>
        <v>3380</v>
      </c>
      <c r="G172" s="59">
        <f t="shared" si="73"/>
        <v>3380</v>
      </c>
      <c r="H172" s="59">
        <f t="shared" si="73"/>
        <v>0</v>
      </c>
      <c r="I172" s="59">
        <f t="shared" si="73"/>
        <v>0</v>
      </c>
      <c r="J172" s="59">
        <f t="shared" si="73"/>
        <v>3301.4</v>
      </c>
      <c r="K172" s="59">
        <f t="shared" si="73"/>
        <v>3301.4</v>
      </c>
      <c r="L172" s="59">
        <f t="shared" si="73"/>
        <v>0</v>
      </c>
      <c r="M172" s="59">
        <f t="shared" si="73"/>
        <v>0</v>
      </c>
      <c r="N172" s="62">
        <f t="shared" si="68"/>
        <v>0.97699999999999998</v>
      </c>
    </row>
    <row r="173" spans="1:14" ht="18.75">
      <c r="A173" s="42"/>
      <c r="B173" s="16" t="s">
        <v>16</v>
      </c>
      <c r="C173" s="7"/>
      <c r="D173" s="7"/>
      <c r="E173" s="7"/>
      <c r="F173" s="59"/>
      <c r="G173" s="57"/>
      <c r="H173" s="57"/>
      <c r="I173" s="57"/>
      <c r="J173" s="59"/>
      <c r="K173" s="57"/>
      <c r="L173" s="57"/>
      <c r="M173" s="57"/>
      <c r="N173" s="58"/>
    </row>
    <row r="174" spans="1:14" ht="75.75" customHeight="1">
      <c r="A174" s="42"/>
      <c r="B174" s="17" t="s">
        <v>126</v>
      </c>
      <c r="C174" s="7">
        <v>811</v>
      </c>
      <c r="D174" s="8" t="s">
        <v>18</v>
      </c>
      <c r="E174" s="7" t="s">
        <v>319</v>
      </c>
      <c r="F174" s="59">
        <f>G174+H174+I174</f>
        <v>367.5</v>
      </c>
      <c r="G174" s="57">
        <v>367.5</v>
      </c>
      <c r="H174" s="57"/>
      <c r="I174" s="57"/>
      <c r="J174" s="59">
        <f>K174+L174+M174</f>
        <v>362.6</v>
      </c>
      <c r="K174" s="57">
        <f>12.9+101.22+101.22+147.26</f>
        <v>362.6</v>
      </c>
      <c r="L174" s="57"/>
      <c r="M174" s="57"/>
      <c r="N174" s="58">
        <f t="shared" si="68"/>
        <v>0.98699999999999999</v>
      </c>
    </row>
    <row r="175" spans="1:14" ht="81.75" customHeight="1">
      <c r="A175" s="42"/>
      <c r="B175" s="17" t="s">
        <v>126</v>
      </c>
      <c r="C175" s="7">
        <v>815</v>
      </c>
      <c r="D175" s="8" t="s">
        <v>58</v>
      </c>
      <c r="E175" s="7" t="s">
        <v>319</v>
      </c>
      <c r="F175" s="59">
        <f>G175+H175+I175</f>
        <v>2931.5</v>
      </c>
      <c r="G175" s="57">
        <v>2931.5</v>
      </c>
      <c r="H175" s="57"/>
      <c r="I175" s="57"/>
      <c r="J175" s="59">
        <f>K175+L175+M175</f>
        <v>2857.8</v>
      </c>
      <c r="K175" s="57">
        <f>701+16+256.39+1871.73+12.71</f>
        <v>2857.8</v>
      </c>
      <c r="L175" s="57"/>
      <c r="M175" s="57"/>
      <c r="N175" s="58">
        <f t="shared" si="68"/>
        <v>0.97499999999999998</v>
      </c>
    </row>
    <row r="176" spans="1:14" ht="71.25" customHeight="1">
      <c r="A176" s="42"/>
      <c r="B176" s="17" t="s">
        <v>126</v>
      </c>
      <c r="C176" s="7">
        <v>816</v>
      </c>
      <c r="D176" s="8" t="s">
        <v>63</v>
      </c>
      <c r="E176" s="7" t="s">
        <v>319</v>
      </c>
      <c r="F176" s="59">
        <f>G176+H176+I176</f>
        <v>81</v>
      </c>
      <c r="G176" s="57">
        <v>81</v>
      </c>
      <c r="H176" s="57"/>
      <c r="I176" s="57"/>
      <c r="J176" s="59">
        <f>K176+L176+M176</f>
        <v>81</v>
      </c>
      <c r="K176" s="57">
        <f>5.5+0.5+33+10+27+5</f>
        <v>81</v>
      </c>
      <c r="L176" s="57"/>
      <c r="M176" s="57"/>
      <c r="N176" s="58">
        <f t="shared" si="68"/>
        <v>1</v>
      </c>
    </row>
    <row r="177" spans="1:14" s="47" customFormat="1" ht="33">
      <c r="A177" s="38" t="s">
        <v>339</v>
      </c>
      <c r="B177" s="26" t="s">
        <v>313</v>
      </c>
      <c r="C177" s="27" t="s">
        <v>13</v>
      </c>
      <c r="D177" s="27" t="s">
        <v>13</v>
      </c>
      <c r="E177" s="27" t="s">
        <v>13</v>
      </c>
      <c r="F177" s="55">
        <f t="shared" ref="F177:M177" si="74">SUM(F179:F179)</f>
        <v>18798.900000000001</v>
      </c>
      <c r="G177" s="55">
        <f t="shared" si="74"/>
        <v>18798.900000000001</v>
      </c>
      <c r="H177" s="55">
        <f t="shared" si="74"/>
        <v>0</v>
      </c>
      <c r="I177" s="55">
        <f t="shared" si="74"/>
        <v>0</v>
      </c>
      <c r="J177" s="55">
        <f t="shared" si="74"/>
        <v>0</v>
      </c>
      <c r="K177" s="55">
        <f t="shared" si="74"/>
        <v>0</v>
      </c>
      <c r="L177" s="55">
        <f t="shared" si="74"/>
        <v>0</v>
      </c>
      <c r="M177" s="55">
        <f t="shared" si="74"/>
        <v>0</v>
      </c>
      <c r="N177" s="56">
        <f t="shared" si="68"/>
        <v>0</v>
      </c>
    </row>
    <row r="178" spans="1:14" ht="18.75">
      <c r="A178" s="42"/>
      <c r="B178" s="16" t="s">
        <v>16</v>
      </c>
      <c r="C178" s="7"/>
      <c r="D178" s="7"/>
      <c r="E178" s="7"/>
      <c r="F178" s="59"/>
      <c r="G178" s="55"/>
      <c r="H178" s="55"/>
      <c r="I178" s="55"/>
      <c r="J178" s="59"/>
      <c r="K178" s="55"/>
      <c r="L178" s="55"/>
      <c r="M178" s="55"/>
      <c r="N178" s="56"/>
    </row>
    <row r="179" spans="1:14" ht="33">
      <c r="A179" s="42"/>
      <c r="B179" s="17" t="s">
        <v>314</v>
      </c>
      <c r="C179" s="7">
        <v>804</v>
      </c>
      <c r="D179" s="8" t="s">
        <v>91</v>
      </c>
      <c r="E179" s="7" t="s">
        <v>315</v>
      </c>
      <c r="F179" s="59">
        <f>G179+H179+I179</f>
        <v>18798.900000000001</v>
      </c>
      <c r="G179" s="55">
        <f>19000+8000-8000-201.13</f>
        <v>18798.900000000001</v>
      </c>
      <c r="H179" s="55"/>
      <c r="I179" s="55"/>
      <c r="J179" s="59">
        <f>K179+L179+M179</f>
        <v>0</v>
      </c>
      <c r="K179" s="55"/>
      <c r="L179" s="55"/>
      <c r="M179" s="55"/>
      <c r="N179" s="56">
        <f t="shared" si="68"/>
        <v>0</v>
      </c>
    </row>
    <row r="180" spans="1:14" ht="18.75">
      <c r="A180" s="43" t="s">
        <v>128</v>
      </c>
      <c r="B180" s="21" t="s">
        <v>129</v>
      </c>
      <c r="C180" s="1" t="s">
        <v>13</v>
      </c>
      <c r="D180" s="1" t="s">
        <v>13</v>
      </c>
      <c r="E180" s="1" t="s">
        <v>13</v>
      </c>
      <c r="F180" s="53">
        <f t="shared" ref="F180:M180" si="75">F181+F188</f>
        <v>71331.8</v>
      </c>
      <c r="G180" s="53">
        <f t="shared" si="75"/>
        <v>32458.400000000001</v>
      </c>
      <c r="H180" s="53">
        <f t="shared" si="75"/>
        <v>38218.199999999997</v>
      </c>
      <c r="I180" s="53">
        <f t="shared" si="75"/>
        <v>655.20000000000005</v>
      </c>
      <c r="J180" s="53">
        <f t="shared" si="75"/>
        <v>70842.100000000006</v>
      </c>
      <c r="K180" s="53">
        <f t="shared" si="75"/>
        <v>32156.2</v>
      </c>
      <c r="L180" s="53">
        <f t="shared" si="75"/>
        <v>38040.300000000003</v>
      </c>
      <c r="M180" s="53">
        <f t="shared" si="75"/>
        <v>645.6</v>
      </c>
      <c r="N180" s="54">
        <f t="shared" si="68"/>
        <v>0.99299999999999999</v>
      </c>
    </row>
    <row r="181" spans="1:14" ht="33">
      <c r="A181" s="41" t="s">
        <v>130</v>
      </c>
      <c r="B181" s="15" t="s">
        <v>131</v>
      </c>
      <c r="C181" s="6" t="s">
        <v>13</v>
      </c>
      <c r="D181" s="6" t="s">
        <v>13</v>
      </c>
      <c r="E181" s="6" t="s">
        <v>13</v>
      </c>
      <c r="F181" s="59">
        <f>SUM(F183:F187)</f>
        <v>52188.5</v>
      </c>
      <c r="G181" s="55">
        <f>SUM(G183:G187)</f>
        <v>13315.1</v>
      </c>
      <c r="H181" s="55">
        <f t="shared" ref="H181" si="76">SUM(H183:H187)</f>
        <v>38218.199999999997</v>
      </c>
      <c r="I181" s="55">
        <f>SUM(I183:I187)</f>
        <v>655.20000000000005</v>
      </c>
      <c r="J181" s="59">
        <f>SUM(J183:J187)</f>
        <v>51699.199999999997</v>
      </c>
      <c r="K181" s="55">
        <f>SUM(K183:K187)</f>
        <v>13013.3</v>
      </c>
      <c r="L181" s="55">
        <f>SUM(L183:L187)</f>
        <v>38040.300000000003</v>
      </c>
      <c r="M181" s="55">
        <f>SUM(M183:M187)</f>
        <v>645.6</v>
      </c>
      <c r="N181" s="56">
        <f t="shared" si="68"/>
        <v>0.99099999999999999</v>
      </c>
    </row>
    <row r="182" spans="1:14" ht="18.75">
      <c r="A182" s="42"/>
      <c r="B182" s="16" t="s">
        <v>16</v>
      </c>
      <c r="C182" s="7"/>
      <c r="D182" s="7"/>
      <c r="E182" s="7"/>
      <c r="F182" s="59"/>
      <c r="G182" s="55"/>
      <c r="H182" s="55"/>
      <c r="I182" s="55"/>
      <c r="J182" s="59"/>
      <c r="K182" s="55"/>
      <c r="L182" s="55"/>
      <c r="M182" s="55"/>
      <c r="N182" s="56"/>
    </row>
    <row r="183" spans="1:14" ht="33">
      <c r="A183" s="44"/>
      <c r="B183" s="32" t="s">
        <v>232</v>
      </c>
      <c r="C183" s="29">
        <v>821</v>
      </c>
      <c r="D183" s="31" t="s">
        <v>20</v>
      </c>
      <c r="E183" s="29" t="s">
        <v>233</v>
      </c>
      <c r="F183" s="55">
        <f t="shared" ref="F183:F187" si="77">G183+H183+I183</f>
        <v>15237.6</v>
      </c>
      <c r="G183" s="57">
        <f>2479</f>
        <v>2479</v>
      </c>
      <c r="H183" s="57">
        <v>12103.4</v>
      </c>
      <c r="I183" s="57">
        <v>655.20000000000005</v>
      </c>
      <c r="J183" s="55">
        <f t="shared" ref="J183:J187" si="78">K183+L183+M183</f>
        <v>15013.7</v>
      </c>
      <c r="K183" s="57">
        <f>2049+393.55</f>
        <v>2442.6</v>
      </c>
      <c r="L183" s="57">
        <f>10004.1+1921.44-0.05</f>
        <v>11925.5</v>
      </c>
      <c r="M183" s="57">
        <v>645.6</v>
      </c>
      <c r="N183" s="58">
        <f t="shared" si="68"/>
        <v>0.98499999999999999</v>
      </c>
    </row>
    <row r="184" spans="1:14" ht="18.75">
      <c r="A184" s="44"/>
      <c r="B184" s="32" t="s">
        <v>232</v>
      </c>
      <c r="C184" s="29">
        <v>814</v>
      </c>
      <c r="D184" s="31" t="s">
        <v>132</v>
      </c>
      <c r="E184" s="29" t="s">
        <v>233</v>
      </c>
      <c r="F184" s="55">
        <f t="shared" si="77"/>
        <v>22950.9</v>
      </c>
      <c r="G184" s="57">
        <f>1836.1-0.03</f>
        <v>1836.1</v>
      </c>
      <c r="H184" s="57">
        <v>21114.799999999999</v>
      </c>
      <c r="I184" s="57"/>
      <c r="J184" s="55">
        <f t="shared" si="78"/>
        <v>22950.9</v>
      </c>
      <c r="K184" s="57">
        <f>1759.3+9.36+5.96+24.76+36.68</f>
        <v>1836.1</v>
      </c>
      <c r="L184" s="57">
        <f>20408.2+284.8+421.82</f>
        <v>21114.799999999999</v>
      </c>
      <c r="M184" s="57"/>
      <c r="N184" s="58">
        <f t="shared" si="68"/>
        <v>1</v>
      </c>
    </row>
    <row r="185" spans="1:14" ht="18.75">
      <c r="A185" s="44"/>
      <c r="B185" s="32" t="s">
        <v>230</v>
      </c>
      <c r="C185" s="29">
        <v>814</v>
      </c>
      <c r="D185" s="31" t="s">
        <v>132</v>
      </c>
      <c r="E185" s="29" t="s">
        <v>231</v>
      </c>
      <c r="F185" s="55">
        <f t="shared" si="77"/>
        <v>5000</v>
      </c>
      <c r="G185" s="57"/>
      <c r="H185" s="57">
        <v>5000</v>
      </c>
      <c r="I185" s="57"/>
      <c r="J185" s="55">
        <f t="shared" si="78"/>
        <v>5000</v>
      </c>
      <c r="K185" s="57"/>
      <c r="L185" s="57">
        <v>5000</v>
      </c>
      <c r="M185" s="57"/>
      <c r="N185" s="58">
        <f t="shared" si="68"/>
        <v>1</v>
      </c>
    </row>
    <row r="186" spans="1:14" ht="18.75">
      <c r="A186" s="44"/>
      <c r="B186" s="32" t="s">
        <v>232</v>
      </c>
      <c r="C186" s="29">
        <v>814</v>
      </c>
      <c r="D186" s="31" t="s">
        <v>132</v>
      </c>
      <c r="E186" s="29" t="s">
        <v>321</v>
      </c>
      <c r="F186" s="55">
        <f t="shared" si="77"/>
        <v>4000</v>
      </c>
      <c r="G186" s="57">
        <v>4000</v>
      </c>
      <c r="H186" s="57"/>
      <c r="I186" s="57"/>
      <c r="J186" s="55">
        <f t="shared" si="78"/>
        <v>4000</v>
      </c>
      <c r="K186" s="57">
        <f>1420+198.8+6.72+164+61.33+58.05+74.33+1966.53+48.7+1.55</f>
        <v>4000</v>
      </c>
      <c r="L186" s="57"/>
      <c r="M186" s="57"/>
      <c r="N186" s="58">
        <f t="shared" si="68"/>
        <v>1</v>
      </c>
    </row>
    <row r="187" spans="1:14" ht="18.75">
      <c r="A187" s="44"/>
      <c r="B187" s="32" t="s">
        <v>230</v>
      </c>
      <c r="C187" s="29">
        <v>814</v>
      </c>
      <c r="D187" s="31" t="s">
        <v>132</v>
      </c>
      <c r="E187" s="29" t="s">
        <v>291</v>
      </c>
      <c r="F187" s="55">
        <f t="shared" si="77"/>
        <v>5000</v>
      </c>
      <c r="G187" s="57">
        <v>5000</v>
      </c>
      <c r="H187" s="57"/>
      <c r="I187" s="57">
        <v>0</v>
      </c>
      <c r="J187" s="55">
        <f t="shared" si="78"/>
        <v>4734.6000000000004</v>
      </c>
      <c r="K187" s="57">
        <f>929.3+419.96+1102.83+45+922.4+141.41+191.54+626.08+356.1</f>
        <v>4734.6000000000004</v>
      </c>
      <c r="L187" s="57"/>
      <c r="M187" s="57"/>
      <c r="N187" s="58">
        <f t="shared" si="68"/>
        <v>0.94699999999999995</v>
      </c>
    </row>
    <row r="188" spans="1:14" ht="18.75">
      <c r="A188" s="38" t="s">
        <v>133</v>
      </c>
      <c r="B188" s="26" t="s">
        <v>134</v>
      </c>
      <c r="C188" s="27" t="s">
        <v>13</v>
      </c>
      <c r="D188" s="27" t="s">
        <v>13</v>
      </c>
      <c r="E188" s="27" t="s">
        <v>13</v>
      </c>
      <c r="F188" s="55">
        <f>SUM(F190:F194)</f>
        <v>19143.3</v>
      </c>
      <c r="G188" s="55">
        <f>SUM(G190:G194)</f>
        <v>19143.3</v>
      </c>
      <c r="H188" s="55">
        <f t="shared" ref="H188" si="79">SUM(H190:H194)</f>
        <v>0</v>
      </c>
      <c r="I188" s="55">
        <f>SUM(I190:I194)</f>
        <v>0</v>
      </c>
      <c r="J188" s="55">
        <f>SUM(J190:J194)</f>
        <v>19142.900000000001</v>
      </c>
      <c r="K188" s="55">
        <f>SUM(K190:K194)</f>
        <v>19142.900000000001</v>
      </c>
      <c r="L188" s="55">
        <f>SUM(L190:L194)</f>
        <v>0</v>
      </c>
      <c r="M188" s="55">
        <f>SUM(M190:M194)</f>
        <v>0</v>
      </c>
      <c r="N188" s="56">
        <f t="shared" si="68"/>
        <v>1</v>
      </c>
    </row>
    <row r="189" spans="1:14" ht="18.75">
      <c r="A189" s="44"/>
      <c r="B189" s="30" t="s">
        <v>16</v>
      </c>
      <c r="C189" s="29"/>
      <c r="D189" s="31"/>
      <c r="E189" s="29"/>
      <c r="F189" s="55"/>
      <c r="G189" s="55"/>
      <c r="H189" s="55"/>
      <c r="I189" s="55"/>
      <c r="J189" s="55">
        <f t="shared" ref="J189:J194" si="80">K189+L189+M189</f>
        <v>0</v>
      </c>
      <c r="K189" s="55"/>
      <c r="L189" s="55"/>
      <c r="M189" s="55"/>
      <c r="N189" s="56"/>
    </row>
    <row r="190" spans="1:14" ht="33">
      <c r="A190" s="44"/>
      <c r="B190" s="32" t="s">
        <v>135</v>
      </c>
      <c r="C190" s="29">
        <v>814</v>
      </c>
      <c r="D190" s="31" t="s">
        <v>132</v>
      </c>
      <c r="E190" s="29" t="s">
        <v>284</v>
      </c>
      <c r="F190" s="55">
        <f t="shared" ref="F190:F194" si="81">G190+H190+I190</f>
        <v>10845.6</v>
      </c>
      <c r="G190" s="57">
        <f>13000-2154.4</f>
        <v>10845.6</v>
      </c>
      <c r="H190" s="57"/>
      <c r="I190" s="57"/>
      <c r="J190" s="55">
        <f t="shared" si="80"/>
        <v>10845.6</v>
      </c>
      <c r="K190" s="57">
        <v>10845.6</v>
      </c>
      <c r="L190" s="57"/>
      <c r="M190" s="57"/>
      <c r="N190" s="58">
        <f t="shared" si="68"/>
        <v>1</v>
      </c>
    </row>
    <row r="191" spans="1:14" ht="82.5">
      <c r="A191" s="44"/>
      <c r="B191" s="32" t="s">
        <v>290</v>
      </c>
      <c r="C191" s="29">
        <v>814</v>
      </c>
      <c r="D191" s="31" t="s">
        <v>132</v>
      </c>
      <c r="E191" s="29" t="s">
        <v>289</v>
      </c>
      <c r="F191" s="55">
        <f t="shared" si="81"/>
        <v>384.5</v>
      </c>
      <c r="G191" s="57">
        <f>16000-15000-615.54</f>
        <v>384.5</v>
      </c>
      <c r="H191" s="57"/>
      <c r="I191" s="57"/>
      <c r="J191" s="55">
        <f t="shared" si="80"/>
        <v>384.5</v>
      </c>
      <c r="K191" s="57">
        <v>384.5</v>
      </c>
      <c r="L191" s="57"/>
      <c r="M191" s="57"/>
      <c r="N191" s="58">
        <f t="shared" si="68"/>
        <v>1</v>
      </c>
    </row>
    <row r="192" spans="1:14" ht="51" customHeight="1">
      <c r="A192" s="44"/>
      <c r="B192" s="32" t="s">
        <v>283</v>
      </c>
      <c r="C192" s="29">
        <v>814</v>
      </c>
      <c r="D192" s="31" t="s">
        <v>132</v>
      </c>
      <c r="E192" s="29" t="s">
        <v>282</v>
      </c>
      <c r="F192" s="55">
        <f t="shared" si="81"/>
        <v>3913.2</v>
      </c>
      <c r="G192" s="57">
        <f>8460-2040-884.5+0.04-1622.3</f>
        <v>3913.2</v>
      </c>
      <c r="H192" s="57"/>
      <c r="I192" s="57"/>
      <c r="J192" s="55">
        <f t="shared" si="80"/>
        <v>3912.8</v>
      </c>
      <c r="K192" s="57">
        <f>1599.6+902.22+1155.83+186.03+69.1</f>
        <v>3912.8</v>
      </c>
      <c r="L192" s="57"/>
      <c r="M192" s="57"/>
      <c r="N192" s="58">
        <f t="shared" si="68"/>
        <v>1</v>
      </c>
    </row>
    <row r="193" spans="1:14" ht="49.5">
      <c r="A193" s="44"/>
      <c r="B193" s="32" t="s">
        <v>286</v>
      </c>
      <c r="C193" s="29">
        <v>814</v>
      </c>
      <c r="D193" s="31" t="s">
        <v>132</v>
      </c>
      <c r="E193" s="29" t="s">
        <v>285</v>
      </c>
      <c r="F193" s="55">
        <f t="shared" si="81"/>
        <v>2000</v>
      </c>
      <c r="G193" s="57">
        <v>2000</v>
      </c>
      <c r="H193" s="57"/>
      <c r="I193" s="57"/>
      <c r="J193" s="55">
        <f t="shared" si="80"/>
        <v>2000</v>
      </c>
      <c r="K193" s="57">
        <f>1896.2+103.75</f>
        <v>2000</v>
      </c>
      <c r="L193" s="57"/>
      <c r="M193" s="57"/>
      <c r="N193" s="58">
        <f t="shared" si="68"/>
        <v>1</v>
      </c>
    </row>
    <row r="194" spans="1:14" ht="33">
      <c r="A194" s="44"/>
      <c r="B194" s="32" t="s">
        <v>288</v>
      </c>
      <c r="C194" s="29">
        <v>814</v>
      </c>
      <c r="D194" s="31" t="s">
        <v>132</v>
      </c>
      <c r="E194" s="29" t="s">
        <v>287</v>
      </c>
      <c r="F194" s="55">
        <f t="shared" si="81"/>
        <v>2000</v>
      </c>
      <c r="G194" s="57">
        <v>2000</v>
      </c>
      <c r="H194" s="57"/>
      <c r="I194" s="57"/>
      <c r="J194" s="55">
        <f t="shared" si="80"/>
        <v>2000</v>
      </c>
      <c r="K194" s="57">
        <f>75+73.63+25.42+1638.21+127.75+59.99</f>
        <v>2000</v>
      </c>
      <c r="L194" s="57"/>
      <c r="M194" s="57"/>
      <c r="N194" s="58">
        <f t="shared" si="68"/>
        <v>1</v>
      </c>
    </row>
    <row r="195" spans="1:14" ht="66">
      <c r="A195" s="43" t="s">
        <v>136</v>
      </c>
      <c r="B195" s="22" t="s">
        <v>137</v>
      </c>
      <c r="C195" s="1" t="s">
        <v>13</v>
      </c>
      <c r="D195" s="1" t="s">
        <v>13</v>
      </c>
      <c r="E195" s="1" t="s">
        <v>13</v>
      </c>
      <c r="F195" s="53">
        <f t="shared" ref="F195:M195" si="82">F196+F200+F205+F208</f>
        <v>413458.5</v>
      </c>
      <c r="G195" s="53">
        <f t="shared" si="82"/>
        <v>13181</v>
      </c>
      <c r="H195" s="53">
        <f t="shared" si="82"/>
        <v>399415.2</v>
      </c>
      <c r="I195" s="53">
        <f t="shared" si="82"/>
        <v>862.3</v>
      </c>
      <c r="J195" s="53">
        <f t="shared" si="82"/>
        <v>413186.7</v>
      </c>
      <c r="K195" s="53">
        <f t="shared" si="82"/>
        <v>13173.2</v>
      </c>
      <c r="L195" s="53">
        <f t="shared" si="82"/>
        <v>399164.8</v>
      </c>
      <c r="M195" s="53">
        <f t="shared" si="82"/>
        <v>848.7</v>
      </c>
      <c r="N195" s="54">
        <f t="shared" si="68"/>
        <v>0.999</v>
      </c>
    </row>
    <row r="196" spans="1:14" ht="82.5">
      <c r="A196" s="41" t="s">
        <v>138</v>
      </c>
      <c r="B196" s="15" t="s">
        <v>139</v>
      </c>
      <c r="C196" s="6" t="s">
        <v>13</v>
      </c>
      <c r="D196" s="6" t="s">
        <v>13</v>
      </c>
      <c r="E196" s="6" t="s">
        <v>13</v>
      </c>
      <c r="F196" s="59">
        <f t="shared" ref="F196:M196" si="83">SUM(F198:F199)</f>
        <v>255129.2</v>
      </c>
      <c r="G196" s="59">
        <f t="shared" si="83"/>
        <v>7653.8</v>
      </c>
      <c r="H196" s="59">
        <f t="shared" si="83"/>
        <v>247475.4</v>
      </c>
      <c r="I196" s="59">
        <f t="shared" si="83"/>
        <v>0</v>
      </c>
      <c r="J196" s="59">
        <f t="shared" si="83"/>
        <v>255129.2</v>
      </c>
      <c r="K196" s="59">
        <f t="shared" si="83"/>
        <v>7653.8</v>
      </c>
      <c r="L196" s="59">
        <f t="shared" si="83"/>
        <v>247475.4</v>
      </c>
      <c r="M196" s="59">
        <f t="shared" si="83"/>
        <v>0</v>
      </c>
      <c r="N196" s="62">
        <f t="shared" si="68"/>
        <v>1</v>
      </c>
    </row>
    <row r="197" spans="1:14" ht="18.75">
      <c r="A197" s="42"/>
      <c r="B197" s="18" t="s">
        <v>16</v>
      </c>
      <c r="C197" s="7"/>
      <c r="D197" s="7"/>
      <c r="E197" s="7"/>
      <c r="F197" s="59"/>
      <c r="G197" s="55"/>
      <c r="H197" s="55"/>
      <c r="I197" s="55"/>
      <c r="J197" s="59"/>
      <c r="K197" s="55"/>
      <c r="L197" s="55"/>
      <c r="M197" s="55"/>
      <c r="N197" s="56"/>
    </row>
    <row r="198" spans="1:14" ht="66">
      <c r="A198" s="46"/>
      <c r="B198" s="35" t="s">
        <v>169</v>
      </c>
      <c r="C198" s="36" t="s">
        <v>341</v>
      </c>
      <c r="D198" s="37" t="s">
        <v>342</v>
      </c>
      <c r="E198" s="36" t="s">
        <v>168</v>
      </c>
      <c r="F198" s="63">
        <f>G198+H198+I198</f>
        <v>2938</v>
      </c>
      <c r="G198" s="60">
        <v>88.1</v>
      </c>
      <c r="H198" s="60">
        <v>2849.9</v>
      </c>
      <c r="I198" s="60"/>
      <c r="J198" s="63">
        <f>K198+L198+M198</f>
        <v>2938</v>
      </c>
      <c r="K198" s="60">
        <v>88.1</v>
      </c>
      <c r="L198" s="60">
        <v>2849.9</v>
      </c>
      <c r="M198" s="60"/>
      <c r="N198" s="61">
        <f t="shared" si="68"/>
        <v>1</v>
      </c>
    </row>
    <row r="199" spans="1:14" ht="49.5">
      <c r="A199" s="46"/>
      <c r="B199" s="35" t="s">
        <v>140</v>
      </c>
      <c r="C199" s="36" t="s">
        <v>341</v>
      </c>
      <c r="D199" s="37" t="s">
        <v>342</v>
      </c>
      <c r="E199" s="36" t="s">
        <v>343</v>
      </c>
      <c r="F199" s="63">
        <f>G199+H199+I199</f>
        <v>252191.2</v>
      </c>
      <c r="G199" s="60">
        <v>7565.7</v>
      </c>
      <c r="H199" s="60">
        <v>244625.5</v>
      </c>
      <c r="I199" s="60"/>
      <c r="J199" s="63">
        <f>K199+L199+M199</f>
        <v>252191.2</v>
      </c>
      <c r="K199" s="60">
        <v>7565.7</v>
      </c>
      <c r="L199" s="60">
        <v>244625.5</v>
      </c>
      <c r="M199" s="60"/>
      <c r="N199" s="61">
        <f t="shared" si="68"/>
        <v>1</v>
      </c>
    </row>
    <row r="200" spans="1:14" ht="49.5">
      <c r="A200" s="41" t="s">
        <v>141</v>
      </c>
      <c r="B200" s="15" t="s">
        <v>142</v>
      </c>
      <c r="C200" s="6" t="s">
        <v>13</v>
      </c>
      <c r="D200" s="6" t="s">
        <v>13</v>
      </c>
      <c r="E200" s="6" t="s">
        <v>13</v>
      </c>
      <c r="F200" s="59">
        <f t="shared" ref="F200:M200" si="84">SUM(F202:F204)</f>
        <v>120174.8</v>
      </c>
      <c r="G200" s="59">
        <f t="shared" si="84"/>
        <v>3579.4</v>
      </c>
      <c r="H200" s="59">
        <f t="shared" si="84"/>
        <v>115733.1</v>
      </c>
      <c r="I200" s="59">
        <f t="shared" si="84"/>
        <v>862.3</v>
      </c>
      <c r="J200" s="59">
        <f t="shared" si="84"/>
        <v>119903</v>
      </c>
      <c r="K200" s="59">
        <f t="shared" si="84"/>
        <v>3571.6</v>
      </c>
      <c r="L200" s="59">
        <f t="shared" si="84"/>
        <v>115482.7</v>
      </c>
      <c r="M200" s="59">
        <f t="shared" si="84"/>
        <v>848.7</v>
      </c>
      <c r="N200" s="62">
        <f t="shared" si="68"/>
        <v>0.998</v>
      </c>
    </row>
    <row r="201" spans="1:14" ht="18.75">
      <c r="A201" s="42"/>
      <c r="B201" s="18" t="s">
        <v>16</v>
      </c>
      <c r="C201" s="7"/>
      <c r="D201" s="7"/>
      <c r="E201" s="7"/>
      <c r="F201" s="59"/>
      <c r="G201" s="55"/>
      <c r="H201" s="55"/>
      <c r="I201" s="55"/>
      <c r="J201" s="59"/>
      <c r="K201" s="55"/>
      <c r="L201" s="55"/>
      <c r="M201" s="55"/>
      <c r="N201" s="56"/>
    </row>
    <row r="202" spans="1:14" ht="129.75" customHeight="1">
      <c r="A202" s="44"/>
      <c r="B202" s="32" t="s">
        <v>171</v>
      </c>
      <c r="C202" s="29">
        <v>840</v>
      </c>
      <c r="D202" s="31" t="s">
        <v>88</v>
      </c>
      <c r="E202" s="29" t="s">
        <v>170</v>
      </c>
      <c r="F202" s="55">
        <f>G202+H202+I202</f>
        <v>17245.2</v>
      </c>
      <c r="G202" s="57">
        <f>491.5-0.01</f>
        <v>491.5</v>
      </c>
      <c r="H202" s="57">
        <v>15891.4</v>
      </c>
      <c r="I202" s="57">
        <v>862.3</v>
      </c>
      <c r="J202" s="55">
        <f>K202+L202+M202</f>
        <v>16973.400000000001</v>
      </c>
      <c r="K202" s="57">
        <v>483.7</v>
      </c>
      <c r="L202" s="57">
        <f>14274.1+1366.89</f>
        <v>15641</v>
      </c>
      <c r="M202" s="57">
        <v>848.7</v>
      </c>
      <c r="N202" s="58">
        <f t="shared" si="68"/>
        <v>0.98399999999999999</v>
      </c>
    </row>
    <row r="203" spans="1:14" ht="100.5" customHeight="1">
      <c r="A203" s="44"/>
      <c r="B203" s="32" t="s">
        <v>173</v>
      </c>
      <c r="C203" s="29">
        <v>840</v>
      </c>
      <c r="D203" s="31" t="s">
        <v>88</v>
      </c>
      <c r="E203" s="29" t="s">
        <v>172</v>
      </c>
      <c r="F203" s="55">
        <f>G203+H203+I203</f>
        <v>6185.6</v>
      </c>
      <c r="G203" s="57">
        <f>185.6-0.03</f>
        <v>185.6</v>
      </c>
      <c r="H203" s="57">
        <v>6000</v>
      </c>
      <c r="I203" s="57"/>
      <c r="J203" s="55">
        <f>K203+L203+M203</f>
        <v>6185.6</v>
      </c>
      <c r="K203" s="57">
        <v>185.6</v>
      </c>
      <c r="L203" s="57">
        <v>6000</v>
      </c>
      <c r="M203" s="57"/>
      <c r="N203" s="58">
        <f t="shared" si="68"/>
        <v>1</v>
      </c>
    </row>
    <row r="204" spans="1:14" ht="115.5">
      <c r="A204" s="44"/>
      <c r="B204" s="32" t="s">
        <v>324</v>
      </c>
      <c r="C204" s="29">
        <v>840</v>
      </c>
      <c r="D204" s="31" t="s">
        <v>88</v>
      </c>
      <c r="E204" s="29" t="s">
        <v>325</v>
      </c>
      <c r="F204" s="55">
        <f>G204+H204+I204</f>
        <v>96744</v>
      </c>
      <c r="G204" s="57">
        <f>2902.3+0.03</f>
        <v>2902.3</v>
      </c>
      <c r="H204" s="57">
        <v>93841.7</v>
      </c>
      <c r="I204" s="57"/>
      <c r="J204" s="55">
        <f>K204+L204+M204</f>
        <v>96744</v>
      </c>
      <c r="K204" s="57">
        <v>2902.3</v>
      </c>
      <c r="L204" s="57">
        <v>93841.7</v>
      </c>
      <c r="M204" s="57"/>
      <c r="N204" s="58">
        <f t="shared" si="68"/>
        <v>1</v>
      </c>
    </row>
    <row r="205" spans="1:14" ht="33">
      <c r="A205" s="38" t="s">
        <v>143</v>
      </c>
      <c r="B205" s="26" t="s">
        <v>144</v>
      </c>
      <c r="C205" s="27" t="s">
        <v>13</v>
      </c>
      <c r="D205" s="40" t="s">
        <v>13</v>
      </c>
      <c r="E205" s="27" t="s">
        <v>13</v>
      </c>
      <c r="F205" s="55">
        <f t="shared" ref="F205:M205" si="85">SUM(F207:F207)</f>
        <v>9311.9</v>
      </c>
      <c r="G205" s="55">
        <f t="shared" si="85"/>
        <v>279.3</v>
      </c>
      <c r="H205" s="55">
        <f t="shared" si="85"/>
        <v>9032.6</v>
      </c>
      <c r="I205" s="55">
        <f t="shared" si="85"/>
        <v>0</v>
      </c>
      <c r="J205" s="55">
        <f t="shared" si="85"/>
        <v>9311.9</v>
      </c>
      <c r="K205" s="55">
        <f t="shared" si="85"/>
        <v>279.3</v>
      </c>
      <c r="L205" s="55">
        <f t="shared" si="85"/>
        <v>9032.6</v>
      </c>
      <c r="M205" s="55">
        <f t="shared" si="85"/>
        <v>0</v>
      </c>
      <c r="N205" s="56">
        <f t="shared" si="68"/>
        <v>1</v>
      </c>
    </row>
    <row r="206" spans="1:14" ht="18.75">
      <c r="A206" s="44"/>
      <c r="B206" s="30" t="s">
        <v>16</v>
      </c>
      <c r="C206" s="29"/>
      <c r="D206" s="31"/>
      <c r="E206" s="29"/>
      <c r="F206" s="55"/>
      <c r="G206" s="55"/>
      <c r="H206" s="55"/>
      <c r="I206" s="55"/>
      <c r="J206" s="55"/>
      <c r="K206" s="55"/>
      <c r="L206" s="55"/>
      <c r="M206" s="55"/>
      <c r="N206" s="56"/>
    </row>
    <row r="207" spans="1:14" ht="159" customHeight="1">
      <c r="A207" s="44"/>
      <c r="B207" s="32" t="s">
        <v>175</v>
      </c>
      <c r="C207" s="29">
        <v>840</v>
      </c>
      <c r="D207" s="31" t="s">
        <v>88</v>
      </c>
      <c r="E207" s="29" t="s">
        <v>174</v>
      </c>
      <c r="F207" s="55">
        <f>G207+H207+I207</f>
        <v>9311.9</v>
      </c>
      <c r="G207" s="57">
        <v>279.3</v>
      </c>
      <c r="H207" s="57">
        <v>9032.6</v>
      </c>
      <c r="I207" s="57"/>
      <c r="J207" s="55">
        <f>K207+L207+M207</f>
        <v>9311.9</v>
      </c>
      <c r="K207" s="57">
        <v>279.3</v>
      </c>
      <c r="L207" s="57">
        <v>9032.6</v>
      </c>
      <c r="M207" s="57"/>
      <c r="N207" s="58">
        <f t="shared" si="68"/>
        <v>1</v>
      </c>
    </row>
    <row r="208" spans="1:14" ht="49.5">
      <c r="A208" s="41" t="s">
        <v>145</v>
      </c>
      <c r="B208" s="15" t="s">
        <v>146</v>
      </c>
      <c r="C208" s="6" t="s">
        <v>13</v>
      </c>
      <c r="D208" s="4" t="s">
        <v>13</v>
      </c>
      <c r="E208" s="6" t="s">
        <v>13</v>
      </c>
      <c r="F208" s="59">
        <f t="shared" ref="F208:M208" si="86">SUM(F210:F213)</f>
        <v>28842.6</v>
      </c>
      <c r="G208" s="59">
        <f t="shared" si="86"/>
        <v>1668.5</v>
      </c>
      <c r="H208" s="59">
        <f t="shared" si="86"/>
        <v>27174.1</v>
      </c>
      <c r="I208" s="59">
        <f t="shared" si="86"/>
        <v>0</v>
      </c>
      <c r="J208" s="59">
        <f t="shared" si="86"/>
        <v>28842.6</v>
      </c>
      <c r="K208" s="59">
        <f t="shared" si="86"/>
        <v>1668.5</v>
      </c>
      <c r="L208" s="59">
        <f t="shared" si="86"/>
        <v>27174.1</v>
      </c>
      <c r="M208" s="59">
        <f t="shared" si="86"/>
        <v>0</v>
      </c>
      <c r="N208" s="62">
        <f t="shared" ref="N208:N233" si="87">J208/F208</f>
        <v>1</v>
      </c>
    </row>
    <row r="209" spans="1:14" ht="18.75">
      <c r="A209" s="44"/>
      <c r="B209" s="32" t="s">
        <v>16</v>
      </c>
      <c r="C209" s="29"/>
      <c r="D209" s="31"/>
      <c r="E209" s="29"/>
      <c r="F209" s="55"/>
      <c r="G209" s="55"/>
      <c r="H209" s="55"/>
      <c r="I209" s="55"/>
      <c r="J209" s="55"/>
      <c r="K209" s="55"/>
      <c r="L209" s="55"/>
      <c r="M209" s="55"/>
      <c r="N209" s="56"/>
    </row>
    <row r="210" spans="1:14" ht="49.5">
      <c r="A210" s="44"/>
      <c r="B210" s="32" t="s">
        <v>148</v>
      </c>
      <c r="C210" s="29">
        <v>817</v>
      </c>
      <c r="D210" s="31" t="s">
        <v>147</v>
      </c>
      <c r="E210" s="29" t="s">
        <v>186</v>
      </c>
      <c r="F210" s="55">
        <f>G210+H210+I210</f>
        <v>22981</v>
      </c>
      <c r="G210" s="57">
        <f>649.5+39.93</f>
        <v>689.4</v>
      </c>
      <c r="H210" s="57">
        <f>21000+1291.58</f>
        <v>22291.599999999999</v>
      </c>
      <c r="I210" s="57"/>
      <c r="J210" s="55">
        <f>K210+L210+M210</f>
        <v>22981</v>
      </c>
      <c r="K210" s="57">
        <f>299.4+90+300</f>
        <v>689.4</v>
      </c>
      <c r="L210" s="57">
        <f>9681.6+2910+9700</f>
        <v>22291.599999999999</v>
      </c>
      <c r="M210" s="57"/>
      <c r="N210" s="58">
        <f t="shared" si="87"/>
        <v>1</v>
      </c>
    </row>
    <row r="211" spans="1:14" ht="66">
      <c r="A211" s="44"/>
      <c r="B211" s="32" t="s">
        <v>149</v>
      </c>
      <c r="C211" s="29">
        <v>817</v>
      </c>
      <c r="D211" s="31" t="s">
        <v>147</v>
      </c>
      <c r="E211" s="29" t="s">
        <v>187</v>
      </c>
      <c r="F211" s="55">
        <f>G211+H211+I211</f>
        <v>3312.4</v>
      </c>
      <c r="G211" s="57">
        <f>92.8+6.57</f>
        <v>99.4</v>
      </c>
      <c r="H211" s="57">
        <f>3000+212.95</f>
        <v>3213</v>
      </c>
      <c r="I211" s="57"/>
      <c r="J211" s="55">
        <f>K211+L211+M211</f>
        <v>3312.4</v>
      </c>
      <c r="K211" s="57">
        <f>33+10.5+10.5+10.5+10.5+10.5-16.42+23.59+6.7</f>
        <v>99.4</v>
      </c>
      <c r="L211" s="57">
        <f>388+339.5+339.5+339.5+339.5+339.5+339.5+339.5-531.02+762.71+216.76</f>
        <v>3213</v>
      </c>
      <c r="M211" s="57"/>
      <c r="N211" s="58">
        <f t="shared" si="87"/>
        <v>1</v>
      </c>
    </row>
    <row r="212" spans="1:14" ht="49.5">
      <c r="A212" s="44"/>
      <c r="B212" s="32" t="s">
        <v>189</v>
      </c>
      <c r="C212" s="29">
        <v>817</v>
      </c>
      <c r="D212" s="31" t="s">
        <v>147</v>
      </c>
      <c r="E212" s="29" t="s">
        <v>188</v>
      </c>
      <c r="F212" s="55">
        <f>G212+H212+I212</f>
        <v>1721.1</v>
      </c>
      <c r="G212" s="57">
        <f>98.1-39.93-6.57</f>
        <v>51.6</v>
      </c>
      <c r="H212" s="57">
        <f>3174-1291.58-212.95</f>
        <v>1669.5</v>
      </c>
      <c r="I212" s="57"/>
      <c r="J212" s="55">
        <f>K212+L212+M212</f>
        <v>1721.1</v>
      </c>
      <c r="K212" s="57">
        <v>51.6</v>
      </c>
      <c r="L212" s="57">
        <v>1669.5</v>
      </c>
      <c r="M212" s="57"/>
      <c r="N212" s="58">
        <f t="shared" si="87"/>
        <v>1</v>
      </c>
    </row>
    <row r="213" spans="1:14" ht="66">
      <c r="A213" s="44"/>
      <c r="B213" s="32" t="s">
        <v>149</v>
      </c>
      <c r="C213" s="29">
        <v>817</v>
      </c>
      <c r="D213" s="31" t="s">
        <v>147</v>
      </c>
      <c r="E213" s="29" t="s">
        <v>326</v>
      </c>
      <c r="F213" s="55">
        <f>G213+H213+I213</f>
        <v>828.1</v>
      </c>
      <c r="G213" s="57">
        <f>1020.6-247.4+54.88</f>
        <v>828.1</v>
      </c>
      <c r="H213" s="57"/>
      <c r="I213" s="57"/>
      <c r="J213" s="55">
        <f>K213+L213+M213</f>
        <v>828.1</v>
      </c>
      <c r="K213" s="57">
        <f>145.8+145.8+145.8+145.8+145.8+145.8-51.76-50.83+55.87</f>
        <v>828.1</v>
      </c>
      <c r="L213" s="57"/>
      <c r="M213" s="57"/>
      <c r="N213" s="58">
        <f t="shared" si="87"/>
        <v>1</v>
      </c>
    </row>
    <row r="214" spans="1:14" ht="33">
      <c r="A214" s="43" t="s">
        <v>150</v>
      </c>
      <c r="B214" s="22" t="s">
        <v>151</v>
      </c>
      <c r="C214" s="1" t="s">
        <v>13</v>
      </c>
      <c r="D214" s="1" t="s">
        <v>13</v>
      </c>
      <c r="E214" s="1" t="s">
        <v>13</v>
      </c>
      <c r="F214" s="53">
        <f t="shared" ref="F214:M214" si="88">F215+F219</f>
        <v>85672</v>
      </c>
      <c r="G214" s="53">
        <f t="shared" si="88"/>
        <v>44434.2</v>
      </c>
      <c r="H214" s="53">
        <f t="shared" si="88"/>
        <v>41237.800000000003</v>
      </c>
      <c r="I214" s="53">
        <f t="shared" si="88"/>
        <v>0</v>
      </c>
      <c r="J214" s="53">
        <f t="shared" si="88"/>
        <v>71542.7</v>
      </c>
      <c r="K214" s="53">
        <f t="shared" si="88"/>
        <v>41626.9</v>
      </c>
      <c r="L214" s="53">
        <f t="shared" si="88"/>
        <v>29915.8</v>
      </c>
      <c r="M214" s="53">
        <f t="shared" si="88"/>
        <v>0</v>
      </c>
      <c r="N214" s="54">
        <f t="shared" si="87"/>
        <v>0.83499999999999996</v>
      </c>
    </row>
    <row r="215" spans="1:14" ht="49.5">
      <c r="A215" s="41" t="s">
        <v>152</v>
      </c>
      <c r="B215" s="15" t="s">
        <v>153</v>
      </c>
      <c r="C215" s="6" t="s">
        <v>13</v>
      </c>
      <c r="D215" s="6" t="s">
        <v>13</v>
      </c>
      <c r="E215" s="6" t="s">
        <v>13</v>
      </c>
      <c r="F215" s="59">
        <f t="shared" ref="F215:M215" si="89">SUM(F217:F218)</f>
        <v>36001.300000000003</v>
      </c>
      <c r="G215" s="55">
        <f t="shared" si="89"/>
        <v>6320.9</v>
      </c>
      <c r="H215" s="55">
        <f t="shared" si="89"/>
        <v>29680.400000000001</v>
      </c>
      <c r="I215" s="55">
        <f t="shared" si="89"/>
        <v>0</v>
      </c>
      <c r="J215" s="59">
        <f t="shared" si="89"/>
        <v>22187.200000000001</v>
      </c>
      <c r="K215" s="55">
        <f t="shared" si="89"/>
        <v>3828.8</v>
      </c>
      <c r="L215" s="55">
        <f t="shared" si="89"/>
        <v>18358.400000000001</v>
      </c>
      <c r="M215" s="55">
        <f t="shared" si="89"/>
        <v>0</v>
      </c>
      <c r="N215" s="56">
        <f t="shared" si="87"/>
        <v>0.61599999999999999</v>
      </c>
    </row>
    <row r="216" spans="1:14" ht="18.75">
      <c r="A216" s="44"/>
      <c r="B216" s="30" t="s">
        <v>16</v>
      </c>
      <c r="C216" s="29"/>
      <c r="D216" s="29"/>
      <c r="E216" s="29"/>
      <c r="F216" s="55"/>
      <c r="G216" s="55"/>
      <c r="H216" s="55"/>
      <c r="I216" s="55"/>
      <c r="J216" s="55"/>
      <c r="K216" s="55"/>
      <c r="L216" s="55"/>
      <c r="M216" s="55"/>
      <c r="N216" s="56"/>
    </row>
    <row r="217" spans="1:14" ht="66">
      <c r="A217" s="44"/>
      <c r="B217" s="32" t="s">
        <v>176</v>
      </c>
      <c r="C217" s="29">
        <v>840</v>
      </c>
      <c r="D217" s="31" t="s">
        <v>88</v>
      </c>
      <c r="E217" s="29" t="s">
        <v>177</v>
      </c>
      <c r="F217" s="55">
        <f>G217+H217+I217</f>
        <v>31780.400000000001</v>
      </c>
      <c r="G217" s="57">
        <f>9100-7000</f>
        <v>2100</v>
      </c>
      <c r="H217" s="57">
        <f>40473.3-10792.9</f>
        <v>29680.400000000001</v>
      </c>
      <c r="I217" s="57"/>
      <c r="J217" s="55">
        <f>K217+L217+M217</f>
        <v>20358.400000000001</v>
      </c>
      <c r="K217" s="57">
        <v>2000</v>
      </c>
      <c r="L217" s="57">
        <f>10706.2+2800+2752.17+2100</f>
        <v>18358.400000000001</v>
      </c>
      <c r="M217" s="57"/>
      <c r="N217" s="58">
        <f t="shared" si="87"/>
        <v>0.64100000000000001</v>
      </c>
    </row>
    <row r="218" spans="1:14" ht="33">
      <c r="A218" s="44"/>
      <c r="B218" s="32" t="s">
        <v>304</v>
      </c>
      <c r="C218" s="29">
        <v>816</v>
      </c>
      <c r="D218" s="31" t="s">
        <v>63</v>
      </c>
      <c r="E218" s="29" t="s">
        <v>305</v>
      </c>
      <c r="F218" s="55">
        <f>G218+H218+I218</f>
        <v>4220.8999999999996</v>
      </c>
      <c r="G218" s="57">
        <f>4351.4-130.5</f>
        <v>4220.8999999999996</v>
      </c>
      <c r="H218" s="57"/>
      <c r="I218" s="57"/>
      <c r="J218" s="55">
        <f>K218+L218+M218</f>
        <v>1828.8</v>
      </c>
      <c r="K218" s="57">
        <f>818+172.01+272.16+566.58</f>
        <v>1828.8</v>
      </c>
      <c r="L218" s="57"/>
      <c r="M218" s="57"/>
      <c r="N218" s="58">
        <f t="shared" si="87"/>
        <v>0.433</v>
      </c>
    </row>
    <row r="219" spans="1:14" s="47" customFormat="1" ht="49.5">
      <c r="A219" s="26" t="s">
        <v>154</v>
      </c>
      <c r="B219" s="26" t="s">
        <v>155</v>
      </c>
      <c r="C219" s="27" t="s">
        <v>13</v>
      </c>
      <c r="D219" s="27" t="s">
        <v>13</v>
      </c>
      <c r="E219" s="66" t="s">
        <v>13</v>
      </c>
      <c r="F219" s="55">
        <f t="shared" ref="F219:M219" si="90">SUM(F221:F222)</f>
        <v>49670.7</v>
      </c>
      <c r="G219" s="55">
        <f t="shared" si="90"/>
        <v>38113.300000000003</v>
      </c>
      <c r="H219" s="55">
        <f t="shared" si="90"/>
        <v>11557.4</v>
      </c>
      <c r="I219" s="55">
        <f t="shared" si="90"/>
        <v>0</v>
      </c>
      <c r="J219" s="55">
        <f t="shared" si="90"/>
        <v>49355.5</v>
      </c>
      <c r="K219" s="55">
        <f t="shared" si="90"/>
        <v>37798.1</v>
      </c>
      <c r="L219" s="55">
        <f t="shared" si="90"/>
        <v>11557.4</v>
      </c>
      <c r="M219" s="55">
        <f t="shared" si="90"/>
        <v>0</v>
      </c>
      <c r="N219" s="56">
        <f t="shared" si="87"/>
        <v>0.99399999999999999</v>
      </c>
    </row>
    <row r="220" spans="1:14" ht="18.75">
      <c r="A220" s="44"/>
      <c r="B220" s="30" t="s">
        <v>16</v>
      </c>
      <c r="C220" s="29"/>
      <c r="D220" s="31"/>
      <c r="E220" s="29"/>
      <c r="F220" s="55"/>
      <c r="G220" s="55"/>
      <c r="H220" s="55"/>
      <c r="I220" s="55"/>
      <c r="J220" s="55"/>
      <c r="K220" s="55"/>
      <c r="L220" s="55"/>
      <c r="M220" s="55"/>
      <c r="N220" s="56"/>
    </row>
    <row r="221" spans="1:14" ht="122.25" customHeight="1">
      <c r="A221" s="44"/>
      <c r="B221" s="32" t="s">
        <v>181</v>
      </c>
      <c r="C221" s="29">
        <v>839</v>
      </c>
      <c r="D221" s="31" t="s">
        <v>17</v>
      </c>
      <c r="E221" s="29" t="s">
        <v>180</v>
      </c>
      <c r="F221" s="55">
        <f>G221+H221+I221</f>
        <v>3133.4</v>
      </c>
      <c r="G221" s="57">
        <f>522.6+126.7+426.73</f>
        <v>1076</v>
      </c>
      <c r="H221" s="57">
        <f>16896.6-14839.2</f>
        <v>2057.4</v>
      </c>
      <c r="I221" s="57"/>
      <c r="J221" s="55">
        <f>K221+L221+M221</f>
        <v>3130.7</v>
      </c>
      <c r="K221" s="57">
        <f>2+1.2+9.05+16.54+19.27+9.43+1.62+1.42+1012.76</f>
        <v>1073.3</v>
      </c>
      <c r="L221" s="57">
        <f>102.76+292.40629+534.26+622.23+304.47+52.38+45.98+102.91</f>
        <v>2057.4</v>
      </c>
      <c r="M221" s="57"/>
      <c r="N221" s="58">
        <f t="shared" si="87"/>
        <v>0.999</v>
      </c>
    </row>
    <row r="222" spans="1:14" ht="33">
      <c r="A222" s="44"/>
      <c r="B222" s="32" t="s">
        <v>178</v>
      </c>
      <c r="C222" s="29">
        <v>839</v>
      </c>
      <c r="D222" s="31" t="s">
        <v>17</v>
      </c>
      <c r="E222" s="29" t="s">
        <v>179</v>
      </c>
      <c r="F222" s="55">
        <f>G222+H222+I222</f>
        <v>46537.3</v>
      </c>
      <c r="G222" s="57">
        <f>14400+26206.2-606.19-426.73-2536</f>
        <v>37037.300000000003</v>
      </c>
      <c r="H222" s="57">
        <f>29100-19600</f>
        <v>9500</v>
      </c>
      <c r="I222" s="57"/>
      <c r="J222" s="55">
        <f>K222+L222+M222</f>
        <v>46224.800000000003</v>
      </c>
      <c r="K222" s="57">
        <f>1454.93+8.59+861.08+869.64+861.1+861.08+861.08+861.08+222.92+1809.7+17999.21+6817.91+3236.51</f>
        <v>36724.800000000003</v>
      </c>
      <c r="L222" s="57">
        <f>554.68+6105.25+2825.79+14.28</f>
        <v>9500</v>
      </c>
      <c r="M222" s="57"/>
      <c r="N222" s="58">
        <f t="shared" si="87"/>
        <v>0.99299999999999999</v>
      </c>
    </row>
    <row r="223" spans="1:14" ht="33">
      <c r="A223" s="22">
        <v>11</v>
      </c>
      <c r="B223" s="22" t="s">
        <v>388</v>
      </c>
      <c r="C223" s="1" t="s">
        <v>13</v>
      </c>
      <c r="D223" s="1" t="s">
        <v>13</v>
      </c>
      <c r="E223" s="25" t="s">
        <v>13</v>
      </c>
      <c r="F223" s="53">
        <f>F224+F230+F227</f>
        <v>21207</v>
      </c>
      <c r="G223" s="53">
        <f t="shared" ref="G223:M223" si="91">G224+G230+G227</f>
        <v>3864.4</v>
      </c>
      <c r="H223" s="53">
        <f t="shared" si="91"/>
        <v>17342.599999999999</v>
      </c>
      <c r="I223" s="53">
        <f t="shared" si="91"/>
        <v>0</v>
      </c>
      <c r="J223" s="53">
        <f t="shared" si="91"/>
        <v>20972.6</v>
      </c>
      <c r="K223" s="53">
        <f t="shared" si="91"/>
        <v>3630</v>
      </c>
      <c r="L223" s="53">
        <f t="shared" si="91"/>
        <v>17342.599999999999</v>
      </c>
      <c r="M223" s="53">
        <f t="shared" si="91"/>
        <v>0</v>
      </c>
      <c r="N223" s="54">
        <f t="shared" si="87"/>
        <v>0.98899999999999999</v>
      </c>
    </row>
    <row r="224" spans="1:14" s="47" customFormat="1" ht="33">
      <c r="A224" s="38" t="s">
        <v>190</v>
      </c>
      <c r="B224" s="26" t="s">
        <v>191</v>
      </c>
      <c r="C224" s="27" t="s">
        <v>13</v>
      </c>
      <c r="D224" s="27" t="s">
        <v>13</v>
      </c>
      <c r="E224" s="27" t="s">
        <v>13</v>
      </c>
      <c r="F224" s="55">
        <f t="shared" ref="F224:M224" si="92">SUM(F226:F226)</f>
        <v>17879</v>
      </c>
      <c r="G224" s="55">
        <f t="shared" si="92"/>
        <v>536.4</v>
      </c>
      <c r="H224" s="55">
        <f t="shared" si="92"/>
        <v>17342.599999999999</v>
      </c>
      <c r="I224" s="55">
        <f t="shared" si="92"/>
        <v>0</v>
      </c>
      <c r="J224" s="55">
        <f t="shared" si="92"/>
        <v>17879</v>
      </c>
      <c r="K224" s="55">
        <f t="shared" si="92"/>
        <v>536.4</v>
      </c>
      <c r="L224" s="55">
        <f t="shared" si="92"/>
        <v>17342.599999999999</v>
      </c>
      <c r="M224" s="55">
        <f t="shared" si="92"/>
        <v>0</v>
      </c>
      <c r="N224" s="56">
        <f t="shared" si="87"/>
        <v>1</v>
      </c>
    </row>
    <row r="225" spans="1:14" ht="18.75">
      <c r="A225" s="42"/>
      <c r="B225" s="18" t="s">
        <v>16</v>
      </c>
      <c r="C225" s="7"/>
      <c r="D225" s="7"/>
      <c r="E225" s="7"/>
      <c r="F225" s="59"/>
      <c r="G225" s="55"/>
      <c r="H225" s="55"/>
      <c r="I225" s="55"/>
      <c r="J225" s="59"/>
      <c r="K225" s="55"/>
      <c r="L225" s="55"/>
      <c r="M225" s="55"/>
      <c r="N225" s="56"/>
    </row>
    <row r="226" spans="1:14" ht="54.75" customHeight="1">
      <c r="A226" s="67"/>
      <c r="B226" s="17" t="s">
        <v>362</v>
      </c>
      <c r="C226" s="7">
        <v>817</v>
      </c>
      <c r="D226" s="8" t="s">
        <v>147</v>
      </c>
      <c r="E226" s="7" t="s">
        <v>363</v>
      </c>
      <c r="F226" s="59">
        <f>G226+H226+I226</f>
        <v>17879</v>
      </c>
      <c r="G226" s="57">
        <v>536.4</v>
      </c>
      <c r="H226" s="57">
        <v>17342.599999999999</v>
      </c>
      <c r="I226" s="57"/>
      <c r="J226" s="59">
        <f>K226+L226+M226</f>
        <v>17879</v>
      </c>
      <c r="K226" s="57">
        <f>248.5+44.74+243.15</f>
        <v>536.4</v>
      </c>
      <c r="L226" s="57">
        <f>8034.1+1446.73+7861.76</f>
        <v>17342.599999999999</v>
      </c>
      <c r="M226" s="57"/>
      <c r="N226" s="58">
        <f t="shared" si="87"/>
        <v>1</v>
      </c>
    </row>
    <row r="227" spans="1:14" ht="54.75" customHeight="1">
      <c r="A227" s="38" t="s">
        <v>257</v>
      </c>
      <c r="B227" s="26" t="s">
        <v>258</v>
      </c>
      <c r="C227" s="27" t="s">
        <v>13</v>
      </c>
      <c r="D227" s="27" t="s">
        <v>13</v>
      </c>
      <c r="E227" s="27" t="s">
        <v>13</v>
      </c>
      <c r="F227" s="59">
        <f>F229</f>
        <v>1328</v>
      </c>
      <c r="G227" s="59">
        <f t="shared" ref="G227:M227" si="93">G229</f>
        <v>1328</v>
      </c>
      <c r="H227" s="59">
        <f t="shared" si="93"/>
        <v>0</v>
      </c>
      <c r="I227" s="59">
        <f t="shared" si="93"/>
        <v>0</v>
      </c>
      <c r="J227" s="59">
        <f t="shared" si="93"/>
        <v>1268</v>
      </c>
      <c r="K227" s="59">
        <f t="shared" si="93"/>
        <v>1268</v>
      </c>
      <c r="L227" s="59">
        <f t="shared" si="93"/>
        <v>0</v>
      </c>
      <c r="M227" s="59">
        <f t="shared" si="93"/>
        <v>0</v>
      </c>
      <c r="N227" s="56">
        <f t="shared" si="87"/>
        <v>0.95499999999999996</v>
      </c>
    </row>
    <row r="228" spans="1:14" ht="18.75">
      <c r="A228" s="42"/>
      <c r="B228" s="18" t="s">
        <v>16</v>
      </c>
      <c r="C228" s="7"/>
      <c r="D228" s="8"/>
      <c r="E228" s="7"/>
      <c r="F228" s="59"/>
      <c r="G228" s="57"/>
      <c r="H228" s="57"/>
      <c r="I228" s="57"/>
      <c r="J228" s="59"/>
      <c r="K228" s="57"/>
      <c r="L228" s="57"/>
      <c r="M228" s="57"/>
      <c r="N228" s="58"/>
    </row>
    <row r="229" spans="1:14" ht="54.75" customHeight="1">
      <c r="A229" s="42"/>
      <c r="B229" s="17" t="s">
        <v>259</v>
      </c>
      <c r="C229" s="7">
        <v>804</v>
      </c>
      <c r="D229" s="8" t="s">
        <v>91</v>
      </c>
      <c r="E229" s="7" t="s">
        <v>260</v>
      </c>
      <c r="F229" s="59">
        <f>G229+H229+I229</f>
        <v>1328</v>
      </c>
      <c r="G229" s="57">
        <v>1328</v>
      </c>
      <c r="H229" s="57"/>
      <c r="I229" s="57"/>
      <c r="J229" s="59">
        <f>K229+M229+L229</f>
        <v>1268</v>
      </c>
      <c r="K229" s="57">
        <v>1268</v>
      </c>
      <c r="L229" s="57"/>
      <c r="M229" s="57"/>
      <c r="N229" s="58">
        <f t="shared" si="87"/>
        <v>0.95499999999999996</v>
      </c>
    </row>
    <row r="230" spans="1:14" ht="18.75">
      <c r="A230" s="41" t="s">
        <v>268</v>
      </c>
      <c r="B230" s="15" t="s">
        <v>269</v>
      </c>
      <c r="C230" s="6" t="s">
        <v>13</v>
      </c>
      <c r="D230" s="6" t="s">
        <v>13</v>
      </c>
      <c r="E230" s="6" t="s">
        <v>13</v>
      </c>
      <c r="F230" s="59">
        <f t="shared" ref="F230:M230" si="94">SUM(F232:F233)</f>
        <v>2000</v>
      </c>
      <c r="G230" s="55">
        <f t="shared" si="94"/>
        <v>2000</v>
      </c>
      <c r="H230" s="55">
        <f t="shared" ref="H230" si="95">SUM(H232:H233)</f>
        <v>0</v>
      </c>
      <c r="I230" s="55">
        <f t="shared" si="94"/>
        <v>0</v>
      </c>
      <c r="J230" s="59">
        <f t="shared" si="94"/>
        <v>1825.6</v>
      </c>
      <c r="K230" s="55">
        <f t="shared" si="94"/>
        <v>1825.6</v>
      </c>
      <c r="L230" s="55">
        <f t="shared" si="94"/>
        <v>0</v>
      </c>
      <c r="M230" s="55">
        <f t="shared" si="94"/>
        <v>0</v>
      </c>
      <c r="N230" s="56">
        <f t="shared" si="87"/>
        <v>0.91300000000000003</v>
      </c>
    </row>
    <row r="231" spans="1:14" ht="18.75">
      <c r="A231" s="42"/>
      <c r="B231" s="18" t="s">
        <v>16</v>
      </c>
      <c r="C231" s="7"/>
      <c r="D231" s="8"/>
      <c r="E231" s="7"/>
      <c r="F231" s="59"/>
      <c r="G231" s="55"/>
      <c r="H231" s="55"/>
      <c r="I231" s="55"/>
      <c r="J231" s="59"/>
      <c r="K231" s="55"/>
      <c r="L231" s="55"/>
      <c r="M231" s="55"/>
      <c r="N231" s="56"/>
    </row>
    <row r="232" spans="1:14" ht="49.5">
      <c r="A232" s="42"/>
      <c r="B232" s="17" t="s">
        <v>270</v>
      </c>
      <c r="C232" s="7">
        <v>804</v>
      </c>
      <c r="D232" s="8" t="s">
        <v>91</v>
      </c>
      <c r="E232" s="7" t="s">
        <v>271</v>
      </c>
      <c r="F232" s="59">
        <f>G232+H232+I232</f>
        <v>1650</v>
      </c>
      <c r="G232" s="57">
        <v>1650</v>
      </c>
      <c r="H232" s="57"/>
      <c r="I232" s="57"/>
      <c r="J232" s="59">
        <f>K232+L232+M232</f>
        <v>1583.6</v>
      </c>
      <c r="K232" s="57">
        <f>1650-581.93-118.22+646.05-12.29</f>
        <v>1583.6</v>
      </c>
      <c r="L232" s="57"/>
      <c r="M232" s="57"/>
      <c r="N232" s="58">
        <f t="shared" si="87"/>
        <v>0.96</v>
      </c>
    </row>
    <row r="233" spans="1:14" ht="49.5">
      <c r="A233" s="42"/>
      <c r="B233" s="17" t="s">
        <v>275</v>
      </c>
      <c r="C233" s="7">
        <v>804</v>
      </c>
      <c r="D233" s="8" t="s">
        <v>91</v>
      </c>
      <c r="E233" s="7" t="s">
        <v>274</v>
      </c>
      <c r="F233" s="59">
        <f>G233+H233+I233</f>
        <v>350</v>
      </c>
      <c r="G233" s="57">
        <v>350</v>
      </c>
      <c r="H233" s="57"/>
      <c r="I233" s="57"/>
      <c r="J233" s="59">
        <f>K233+L233+M233</f>
        <v>242</v>
      </c>
      <c r="K233" s="57">
        <v>242</v>
      </c>
      <c r="L233" s="57"/>
      <c r="M233" s="57"/>
      <c r="N233" s="58">
        <f t="shared" si="87"/>
        <v>0.69099999999999995</v>
      </c>
    </row>
    <row r="234" spans="1:14">
      <c r="A234" s="11"/>
      <c r="B234" s="20" t="s">
        <v>323</v>
      </c>
      <c r="C234" s="11"/>
      <c r="D234" s="11"/>
      <c r="E234" s="11"/>
    </row>
    <row r="235" spans="1:14">
      <c r="A235" s="11"/>
      <c r="B235" s="20" t="s">
        <v>381</v>
      </c>
      <c r="C235" s="11"/>
      <c r="D235" s="11"/>
      <c r="E235" s="11"/>
    </row>
    <row r="242" ht="22.15" customHeight="1"/>
    <row r="243" ht="22.15" customHeight="1"/>
    <row r="244" ht="22.15" customHeight="1"/>
    <row r="245" ht="22.15" customHeight="1"/>
    <row r="246" ht="21" customHeight="1"/>
    <row r="247" ht="21" customHeight="1"/>
    <row r="248" ht="21" customHeight="1"/>
    <row r="249" ht="21" customHeight="1"/>
    <row r="250" ht="17.45" customHeight="1"/>
    <row r="251" ht="16.149999999999999" customHeight="1"/>
    <row r="252" ht="17.45" customHeight="1"/>
    <row r="253" ht="20.45" customHeight="1"/>
    <row r="254" ht="16.149999999999999" customHeight="1"/>
    <row r="255" ht="17.45" customHeight="1"/>
    <row r="256" ht="17.45" customHeight="1"/>
  </sheetData>
  <autoFilter ref="A4:N235">
    <filterColumn colId="3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sortState ref="A16:AE59">
      <sortCondition ref="E4:E291"/>
    </sortState>
  </autoFilter>
  <mergeCells count="10">
    <mergeCell ref="F4:M4"/>
    <mergeCell ref="A1:N2"/>
    <mergeCell ref="N4:N6"/>
    <mergeCell ref="A4:A6"/>
    <mergeCell ref="B4:B6"/>
    <mergeCell ref="C4:C6"/>
    <mergeCell ref="E4:E6"/>
    <mergeCell ref="D4:D6"/>
    <mergeCell ref="F5:I5"/>
    <mergeCell ref="J5:M5"/>
  </mergeCells>
  <printOptions horizontalCentered="1"/>
  <pageMargins left="0" right="0" top="0" bottom="0" header="0.31496062992125984" footer="0.31496062992125984"/>
  <pageSetup paperSize="9" scale="48" orientation="landscape" horizontalDpi="180" verticalDpi="180" r:id="rId1"/>
  <rowBreaks count="3" manualBreakCount="3">
    <brk id="111" max="21" man="1"/>
    <brk id="128" max="21" man="1"/>
    <brk id="15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2021-02-17T04:21:10Z</dcterms:modified>
</cp:coreProperties>
</file>