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90" windowHeight="7320"/>
  </bookViews>
  <sheets>
    <sheet name="Лист1" sheetId="1" r:id="rId1"/>
  </sheets>
  <definedNames>
    <definedName name="_xlnm._FilterDatabase" localSheetId="0" hidden="1">Лист1!$A$4:$V$271</definedName>
    <definedName name="_xlnm.Print_Titles" localSheetId="0">Лист1!$4:$7</definedName>
    <definedName name="_xlnm.Print_Area" localSheetId="0">Лист1!$A$1:$V$271</definedName>
  </definedNames>
  <calcPr calcId="125725" fullPrecision="0"/>
</workbook>
</file>

<file path=xl/calcChain.xml><?xml version="1.0" encoding="utf-8"?>
<calcChain xmlns="http://schemas.openxmlformats.org/spreadsheetml/2006/main">
  <c r="H85" i="1"/>
  <c r="L17"/>
  <c r="L21"/>
  <c r="L39"/>
  <c r="L104"/>
  <c r="L84"/>
  <c r="L25"/>
  <c r="L261"/>
  <c r="L42"/>
  <c r="K17"/>
  <c r="K21"/>
  <c r="K39"/>
  <c r="K104"/>
  <c r="K84"/>
  <c r="K25"/>
  <c r="K261"/>
  <c r="K42"/>
  <c r="L173" l="1"/>
  <c r="L169"/>
  <c r="L159"/>
  <c r="L155"/>
  <c r="L48"/>
  <c r="L50"/>
  <c r="L95"/>
  <c r="L86"/>
  <c r="L32"/>
  <c r="L128"/>
  <c r="L70"/>
  <c r="L79"/>
  <c r="L78"/>
  <c r="L66"/>
  <c r="L65"/>
  <c r="L57"/>
  <c r="L243"/>
  <c r="L255"/>
  <c r="K148"/>
  <c r="K140"/>
  <c r="K173"/>
  <c r="K174"/>
  <c r="K196"/>
  <c r="K191"/>
  <c r="K170"/>
  <c r="K184"/>
  <c r="K164"/>
  <c r="K160"/>
  <c r="K155"/>
  <c r="K13"/>
  <c r="K49"/>
  <c r="K50"/>
  <c r="K224"/>
  <c r="K222"/>
  <c r="K213"/>
  <c r="K214"/>
  <c r="K210"/>
  <c r="K41"/>
  <c r="K114"/>
  <c r="K119"/>
  <c r="K115"/>
  <c r="K122"/>
  <c r="K96"/>
  <c r="K100"/>
  <c r="K95"/>
  <c r="K109"/>
  <c r="K108"/>
  <c r="K107"/>
  <c r="K105"/>
  <c r="K111"/>
  <c r="K86"/>
  <c r="K85"/>
  <c r="K90"/>
  <c r="K133"/>
  <c r="K132"/>
  <c r="K32"/>
  <c r="K30"/>
  <c r="K128"/>
  <c r="K53"/>
  <c r="K75"/>
  <c r="K74"/>
  <c r="K70"/>
  <c r="K71"/>
  <c r="K79"/>
  <c r="K67"/>
  <c r="K66"/>
  <c r="K58"/>
  <c r="K60"/>
  <c r="K243"/>
  <c r="K255"/>
  <c r="K256"/>
  <c r="K251"/>
  <c r="K265"/>
  <c r="H155"/>
  <c r="H21"/>
  <c r="H98"/>
  <c r="H95"/>
  <c r="H84"/>
  <c r="H245"/>
  <c r="H243"/>
  <c r="H250"/>
  <c r="G147"/>
  <c r="G149"/>
  <c r="G145"/>
  <c r="G191"/>
  <c r="G155"/>
  <c r="G49"/>
  <c r="G40"/>
  <c r="G38"/>
  <c r="G37"/>
  <c r="G90"/>
  <c r="G53"/>
  <c r="F53" s="1"/>
  <c r="G75"/>
  <c r="G71"/>
  <c r="G67"/>
  <c r="G60"/>
  <c r="G245"/>
  <c r="G243"/>
  <c r="G265"/>
  <c r="G262" s="1"/>
  <c r="R264"/>
  <c r="N264"/>
  <c r="J264"/>
  <c r="F264"/>
  <c r="H262"/>
  <c r="I262"/>
  <c r="L262"/>
  <c r="M262"/>
  <c r="O262"/>
  <c r="P262"/>
  <c r="Q262"/>
  <c r="S262"/>
  <c r="T262"/>
  <c r="U262"/>
  <c r="V264" l="1"/>
  <c r="L192" l="1"/>
  <c r="L191"/>
  <c r="L256"/>
  <c r="K137"/>
  <c r="G137"/>
  <c r="G42"/>
  <c r="H201"/>
  <c r="H50"/>
  <c r="H44"/>
  <c r="H42"/>
  <c r="L250"/>
  <c r="K145"/>
  <c r="G202"/>
  <c r="G203"/>
  <c r="O164"/>
  <c r="G160"/>
  <c r="R161"/>
  <c r="R162"/>
  <c r="N162"/>
  <c r="N161"/>
  <c r="J161"/>
  <c r="F161"/>
  <c r="G50"/>
  <c r="V161" l="1"/>
  <c r="K268"/>
  <c r="G222"/>
  <c r="K146"/>
  <c r="K195"/>
  <c r="K202"/>
  <c r="G221"/>
  <c r="R38"/>
  <c r="N38"/>
  <c r="J38"/>
  <c r="F38"/>
  <c r="R37"/>
  <c r="N37"/>
  <c r="J37"/>
  <c r="F37"/>
  <c r="K116"/>
  <c r="G86"/>
  <c r="K26"/>
  <c r="G74"/>
  <c r="K80"/>
  <c r="G254"/>
  <c r="G255"/>
  <c r="K262"/>
  <c r="L181"/>
  <c r="V37" l="1"/>
  <c r="V38"/>
  <c r="K197"/>
  <c r="L189"/>
  <c r="L85"/>
  <c r="K97"/>
  <c r="K59"/>
  <c r="K246"/>
  <c r="K244"/>
  <c r="L170"/>
  <c r="L97"/>
  <c r="L59"/>
  <c r="L244"/>
  <c r="T184"/>
  <c r="P184"/>
  <c r="G177"/>
  <c r="G19"/>
  <c r="G18"/>
  <c r="G17"/>
  <c r="H74"/>
  <c r="G45"/>
  <c r="G256"/>
  <c r="K177"/>
  <c r="J179"/>
  <c r="F179"/>
  <c r="J162"/>
  <c r="F162"/>
  <c r="G15"/>
  <c r="G14"/>
  <c r="G16"/>
  <c r="G220"/>
  <c r="G58"/>
  <c r="L168"/>
  <c r="H19"/>
  <c r="H18"/>
  <c r="H17"/>
  <c r="L111"/>
  <c r="H45"/>
  <c r="H255"/>
  <c r="H256"/>
  <c r="H189"/>
  <c r="I189"/>
  <c r="M189"/>
  <c r="O189"/>
  <c r="P189"/>
  <c r="Q189"/>
  <c r="S189"/>
  <c r="T189"/>
  <c r="U189"/>
  <c r="R192"/>
  <c r="N192"/>
  <c r="J192"/>
  <c r="F192"/>
  <c r="V179" l="1"/>
  <c r="V192"/>
  <c r="V162"/>
  <c r="K189"/>
  <c r="K150"/>
  <c r="K163"/>
  <c r="G70"/>
  <c r="H70"/>
  <c r="G13"/>
  <c r="K178" l="1"/>
  <c r="G151"/>
  <c r="K98"/>
  <c r="L98" l="1"/>
  <c r="G51" l="1"/>
  <c r="H51"/>
  <c r="I51"/>
  <c r="L51"/>
  <c r="M51"/>
  <c r="O51"/>
  <c r="P51"/>
  <c r="Q51"/>
  <c r="S51"/>
  <c r="T51"/>
  <c r="U51"/>
  <c r="R22"/>
  <c r="N22"/>
  <c r="J22"/>
  <c r="F22"/>
  <c r="R50"/>
  <c r="N50"/>
  <c r="F50"/>
  <c r="V22" l="1"/>
  <c r="J50"/>
  <c r="V50" s="1"/>
  <c r="G80"/>
  <c r="J178"/>
  <c r="F178"/>
  <c r="V178" l="1"/>
  <c r="K99"/>
  <c r="G107"/>
  <c r="K29" l="1"/>
  <c r="O21"/>
  <c r="G181"/>
  <c r="G79"/>
  <c r="G76" s="1"/>
  <c r="R203"/>
  <c r="R204"/>
  <c r="N203"/>
  <c r="N204"/>
  <c r="J203"/>
  <c r="F203"/>
  <c r="R13"/>
  <c r="R14"/>
  <c r="N13"/>
  <c r="J13"/>
  <c r="F13"/>
  <c r="O14"/>
  <c r="K117"/>
  <c r="K51"/>
  <c r="R79"/>
  <c r="R80"/>
  <c r="N80"/>
  <c r="J80"/>
  <c r="F80"/>
  <c r="I76"/>
  <c r="M76"/>
  <c r="P76"/>
  <c r="Q76"/>
  <c r="S76"/>
  <c r="T76"/>
  <c r="U76"/>
  <c r="O79"/>
  <c r="N79" s="1"/>
  <c r="S61"/>
  <c r="O61"/>
  <c r="V80" l="1"/>
  <c r="V13"/>
  <c r="O76"/>
  <c r="K76"/>
  <c r="R202"/>
  <c r="N202"/>
  <c r="J202"/>
  <c r="F202"/>
  <c r="G87"/>
  <c r="R134"/>
  <c r="N134"/>
  <c r="J134"/>
  <c r="F134"/>
  <c r="R133"/>
  <c r="N133"/>
  <c r="J133"/>
  <c r="F133"/>
  <c r="R132"/>
  <c r="N132"/>
  <c r="J132"/>
  <c r="F132"/>
  <c r="G258"/>
  <c r="H258"/>
  <c r="I258"/>
  <c r="K258"/>
  <c r="L258"/>
  <c r="M258"/>
  <c r="O258"/>
  <c r="P258"/>
  <c r="Q258"/>
  <c r="S258"/>
  <c r="T258"/>
  <c r="U258"/>
  <c r="R261"/>
  <c r="N261"/>
  <c r="J261"/>
  <c r="F261"/>
  <c r="R180"/>
  <c r="N180"/>
  <c r="J180"/>
  <c r="F180"/>
  <c r="I226"/>
  <c r="K226"/>
  <c r="L226"/>
  <c r="M226"/>
  <c r="P226"/>
  <c r="Q226"/>
  <c r="T226"/>
  <c r="U226"/>
  <c r="R181"/>
  <c r="N181"/>
  <c r="J181"/>
  <c r="F181"/>
  <c r="H175"/>
  <c r="I175"/>
  <c r="K175"/>
  <c r="L175"/>
  <c r="M175"/>
  <c r="O175"/>
  <c r="P175"/>
  <c r="Q175"/>
  <c r="S175"/>
  <c r="T175"/>
  <c r="U175"/>
  <c r="G204"/>
  <c r="G164"/>
  <c r="G157" s="1"/>
  <c r="R163"/>
  <c r="N163"/>
  <c r="J163"/>
  <c r="F163"/>
  <c r="R160"/>
  <c r="N160"/>
  <c r="N164"/>
  <c r="J160"/>
  <c r="F160"/>
  <c r="R15"/>
  <c r="N15"/>
  <c r="J15"/>
  <c r="F15"/>
  <c r="N14"/>
  <c r="J14"/>
  <c r="F14"/>
  <c r="R40"/>
  <c r="N40"/>
  <c r="J40"/>
  <c r="F40"/>
  <c r="G43"/>
  <c r="K87"/>
  <c r="V181" l="1"/>
  <c r="V180"/>
  <c r="V261"/>
  <c r="V132"/>
  <c r="V133"/>
  <c r="V134"/>
  <c r="V15"/>
  <c r="V40"/>
  <c r="V14"/>
  <c r="V163"/>
  <c r="V160"/>
  <c r="R88"/>
  <c r="N88"/>
  <c r="J88"/>
  <c r="F88"/>
  <c r="R91"/>
  <c r="N91"/>
  <c r="J91"/>
  <c r="F91"/>
  <c r="K61"/>
  <c r="G61"/>
  <c r="G237"/>
  <c r="G236"/>
  <c r="R231"/>
  <c r="N231"/>
  <c r="J231"/>
  <c r="F231"/>
  <c r="R230"/>
  <c r="N230"/>
  <c r="J230"/>
  <c r="F230"/>
  <c r="H229"/>
  <c r="H226" s="1"/>
  <c r="G229"/>
  <c r="G193"/>
  <c r="H193"/>
  <c r="I193"/>
  <c r="L193"/>
  <c r="M193"/>
  <c r="O193"/>
  <c r="P193"/>
  <c r="Q193"/>
  <c r="S193"/>
  <c r="T193"/>
  <c r="U193"/>
  <c r="V230" l="1"/>
  <c r="V231"/>
  <c r="V91"/>
  <c r="V88"/>
  <c r="G226"/>
  <c r="L76"/>
  <c r="J79"/>
  <c r="R184" l="1"/>
  <c r="K193"/>
  <c r="H159"/>
  <c r="S96"/>
  <c r="O96"/>
  <c r="G96"/>
  <c r="R99"/>
  <c r="N99"/>
  <c r="J99"/>
  <c r="F99"/>
  <c r="R90"/>
  <c r="N90"/>
  <c r="J90"/>
  <c r="F90"/>
  <c r="G92"/>
  <c r="G128"/>
  <c r="V99" l="1"/>
  <c r="V90"/>
  <c r="I10"/>
  <c r="M10"/>
  <c r="O10"/>
  <c r="Q10"/>
  <c r="S10"/>
  <c r="U10"/>
  <c r="G122"/>
  <c r="G106"/>
  <c r="G251"/>
  <c r="G175"/>
  <c r="G184"/>
  <c r="G115"/>
  <c r="G95"/>
  <c r="G111"/>
  <c r="G28"/>
  <c r="G112" l="1"/>
  <c r="J204"/>
  <c r="F204"/>
  <c r="O244"/>
  <c r="G174"/>
  <c r="G189"/>
  <c r="K10"/>
  <c r="G110"/>
  <c r="R109"/>
  <c r="N109"/>
  <c r="J109"/>
  <c r="F109"/>
  <c r="R103"/>
  <c r="N103"/>
  <c r="J103"/>
  <c r="F103"/>
  <c r="I101"/>
  <c r="K101"/>
  <c r="L101"/>
  <c r="M101"/>
  <c r="Q101"/>
  <c r="S101"/>
  <c r="T101"/>
  <c r="U101"/>
  <c r="G25"/>
  <c r="G31"/>
  <c r="G26"/>
  <c r="K27"/>
  <c r="J201"/>
  <c r="N201"/>
  <c r="R201"/>
  <c r="F201"/>
  <c r="G199"/>
  <c r="H199"/>
  <c r="H188" s="1"/>
  <c r="I199"/>
  <c r="I188" s="1"/>
  <c r="K199"/>
  <c r="L199"/>
  <c r="L188" s="1"/>
  <c r="M199"/>
  <c r="M188" s="1"/>
  <c r="O199"/>
  <c r="O188" s="1"/>
  <c r="P199"/>
  <c r="P188" s="1"/>
  <c r="Q199"/>
  <c r="Q188" s="1"/>
  <c r="S199"/>
  <c r="S188" s="1"/>
  <c r="T199"/>
  <c r="T188" s="1"/>
  <c r="U199"/>
  <c r="U188" s="1"/>
  <c r="H170"/>
  <c r="H169"/>
  <c r="N12"/>
  <c r="R12"/>
  <c r="J12"/>
  <c r="F12"/>
  <c r="H41"/>
  <c r="H25"/>
  <c r="T20"/>
  <c r="T10" s="1"/>
  <c r="P20"/>
  <c r="P10" s="1"/>
  <c r="H20"/>
  <c r="H79"/>
  <c r="L10"/>
  <c r="V204" l="1"/>
  <c r="V12"/>
  <c r="V103"/>
  <c r="V109"/>
  <c r="K188"/>
  <c r="G10"/>
  <c r="H76"/>
  <c r="F79"/>
  <c r="V79" s="1"/>
  <c r="G23"/>
  <c r="H10"/>
  <c r="L241"/>
  <c r="K241"/>
  <c r="R246"/>
  <c r="N246"/>
  <c r="J246"/>
  <c r="F246"/>
  <c r="H241"/>
  <c r="I241"/>
  <c r="M241"/>
  <c r="O241"/>
  <c r="P241"/>
  <c r="Q241"/>
  <c r="S241"/>
  <c r="T241"/>
  <c r="U241"/>
  <c r="G244"/>
  <c r="V246" l="1"/>
  <c r="G188"/>
  <c r="G241"/>
  <c r="S210"/>
  <c r="G210"/>
  <c r="G209"/>
  <c r="G250"/>
  <c r="S240"/>
  <c r="R240" s="1"/>
  <c r="O240"/>
  <c r="G240"/>
  <c r="O235"/>
  <c r="G235"/>
  <c r="S234"/>
  <c r="S232" s="1"/>
  <c r="O234"/>
  <c r="G234"/>
  <c r="S229"/>
  <c r="O229"/>
  <c r="O226" s="1"/>
  <c r="S228"/>
  <c r="I232"/>
  <c r="K232"/>
  <c r="L232"/>
  <c r="M232"/>
  <c r="Q232"/>
  <c r="U232"/>
  <c r="R237"/>
  <c r="N237"/>
  <c r="J237"/>
  <c r="F237"/>
  <c r="T234"/>
  <c r="T232" s="1"/>
  <c r="P234"/>
  <c r="P232" s="1"/>
  <c r="H234"/>
  <c r="H232" s="1"/>
  <c r="R196"/>
  <c r="R197"/>
  <c r="R198"/>
  <c r="N196"/>
  <c r="N197"/>
  <c r="N198"/>
  <c r="J196"/>
  <c r="J197"/>
  <c r="J198"/>
  <c r="F196"/>
  <c r="F197"/>
  <c r="F198"/>
  <c r="V197" l="1"/>
  <c r="V196"/>
  <c r="V237"/>
  <c r="S226"/>
  <c r="O232"/>
  <c r="G232"/>
  <c r="P105"/>
  <c r="P101" s="1"/>
  <c r="O105"/>
  <c r="O101" s="1"/>
  <c r="H105"/>
  <c r="H101" s="1"/>
  <c r="G105"/>
  <c r="J53"/>
  <c r="R71"/>
  <c r="R70"/>
  <c r="N71"/>
  <c r="N70"/>
  <c r="R213"/>
  <c r="N213"/>
  <c r="J213"/>
  <c r="F213"/>
  <c r="R182"/>
  <c r="F159"/>
  <c r="U68"/>
  <c r="G68"/>
  <c r="H68"/>
  <c r="I68"/>
  <c r="K68"/>
  <c r="L68"/>
  <c r="M68"/>
  <c r="O68"/>
  <c r="Q68"/>
  <c r="S68"/>
  <c r="T68"/>
  <c r="P68"/>
  <c r="J70"/>
  <c r="J71"/>
  <c r="F70"/>
  <c r="F71"/>
  <c r="Q166"/>
  <c r="S166"/>
  <c r="T166"/>
  <c r="G166"/>
  <c r="H166"/>
  <c r="I166"/>
  <c r="K166"/>
  <c r="L166"/>
  <c r="M166"/>
  <c r="O166"/>
  <c r="P166"/>
  <c r="G185"/>
  <c r="H185"/>
  <c r="I185"/>
  <c r="K185"/>
  <c r="L185"/>
  <c r="M185"/>
  <c r="O185"/>
  <c r="P185"/>
  <c r="Q185"/>
  <c r="S185"/>
  <c r="T185"/>
  <c r="U185"/>
  <c r="R187"/>
  <c r="R185" s="1"/>
  <c r="N187"/>
  <c r="N185" s="1"/>
  <c r="J187"/>
  <c r="F187"/>
  <c r="G182"/>
  <c r="H182"/>
  <c r="I182"/>
  <c r="K182"/>
  <c r="L182"/>
  <c r="M182"/>
  <c r="O182"/>
  <c r="P182"/>
  <c r="Q182"/>
  <c r="S182"/>
  <c r="T182"/>
  <c r="U182"/>
  <c r="N184"/>
  <c r="N182" s="1"/>
  <c r="J184"/>
  <c r="F184"/>
  <c r="R177"/>
  <c r="R175" s="1"/>
  <c r="N177"/>
  <c r="N175" s="1"/>
  <c r="J177"/>
  <c r="F177"/>
  <c r="F175" s="1"/>
  <c r="G171"/>
  <c r="H171"/>
  <c r="I171"/>
  <c r="K171"/>
  <c r="L171"/>
  <c r="M171"/>
  <c r="O171"/>
  <c r="P171"/>
  <c r="Q171"/>
  <c r="S171"/>
  <c r="T171"/>
  <c r="U171"/>
  <c r="R173"/>
  <c r="R174"/>
  <c r="N173"/>
  <c r="N174"/>
  <c r="J173"/>
  <c r="J174"/>
  <c r="F173"/>
  <c r="F174"/>
  <c r="R168"/>
  <c r="R169"/>
  <c r="R170"/>
  <c r="N168"/>
  <c r="N169"/>
  <c r="N170"/>
  <c r="J168"/>
  <c r="J169"/>
  <c r="J170"/>
  <c r="F168"/>
  <c r="F169"/>
  <c r="F170"/>
  <c r="H266"/>
  <c r="H252"/>
  <c r="H248"/>
  <c r="H238"/>
  <c r="H218"/>
  <c r="H215"/>
  <c r="H207"/>
  <c r="H153"/>
  <c r="H143"/>
  <c r="H138"/>
  <c r="H135"/>
  <c r="H130"/>
  <c r="H126"/>
  <c r="H123"/>
  <c r="H120"/>
  <c r="H112"/>
  <c r="H93"/>
  <c r="H82"/>
  <c r="H72"/>
  <c r="H63"/>
  <c r="H55"/>
  <c r="H46"/>
  <c r="H35"/>
  <c r="H23"/>
  <c r="G266"/>
  <c r="I266"/>
  <c r="K266"/>
  <c r="L266"/>
  <c r="M266"/>
  <c r="O266"/>
  <c r="P266"/>
  <c r="Q266"/>
  <c r="S266"/>
  <c r="T266"/>
  <c r="U266"/>
  <c r="R268"/>
  <c r="R269"/>
  <c r="N268"/>
  <c r="N269"/>
  <c r="J268"/>
  <c r="J269"/>
  <c r="F268"/>
  <c r="F269"/>
  <c r="R265"/>
  <c r="R262" s="1"/>
  <c r="N265"/>
  <c r="N262" s="1"/>
  <c r="J265"/>
  <c r="F265"/>
  <c r="F262" s="1"/>
  <c r="R260"/>
  <c r="R258" s="1"/>
  <c r="N260"/>
  <c r="N258" s="1"/>
  <c r="J260"/>
  <c r="F260"/>
  <c r="F258" s="1"/>
  <c r="G252"/>
  <c r="I252"/>
  <c r="K252"/>
  <c r="L252"/>
  <c r="M252"/>
  <c r="O252"/>
  <c r="P252"/>
  <c r="Q252"/>
  <c r="S252"/>
  <c r="T252"/>
  <c r="U252"/>
  <c r="R254"/>
  <c r="R255"/>
  <c r="R256"/>
  <c r="N254"/>
  <c r="N255"/>
  <c r="N256"/>
  <c r="J254"/>
  <c r="J255"/>
  <c r="J256"/>
  <c r="F256"/>
  <c r="F254"/>
  <c r="F255"/>
  <c r="G248"/>
  <c r="I248"/>
  <c r="K248"/>
  <c r="L248"/>
  <c r="M248"/>
  <c r="O248"/>
  <c r="P248"/>
  <c r="Q248"/>
  <c r="S248"/>
  <c r="T248"/>
  <c r="U248"/>
  <c r="R250"/>
  <c r="R251"/>
  <c r="N250"/>
  <c r="N251"/>
  <c r="J250"/>
  <c r="J251"/>
  <c r="F250"/>
  <c r="F251"/>
  <c r="R243"/>
  <c r="R244"/>
  <c r="R245"/>
  <c r="N243"/>
  <c r="N244"/>
  <c r="N245"/>
  <c r="J243"/>
  <c r="J244"/>
  <c r="J245"/>
  <c r="F243"/>
  <c r="F244"/>
  <c r="F245"/>
  <c r="G238"/>
  <c r="I238"/>
  <c r="K238"/>
  <c r="L238"/>
  <c r="M238"/>
  <c r="O238"/>
  <c r="P238"/>
  <c r="Q238"/>
  <c r="S238"/>
  <c r="T238"/>
  <c r="U238"/>
  <c r="N240"/>
  <c r="J240"/>
  <c r="F240"/>
  <c r="R235"/>
  <c r="R236"/>
  <c r="N234"/>
  <c r="N235"/>
  <c r="N236"/>
  <c r="J234"/>
  <c r="J235"/>
  <c r="J236"/>
  <c r="F234"/>
  <c r="F235"/>
  <c r="F236"/>
  <c r="R228"/>
  <c r="R229"/>
  <c r="N228"/>
  <c r="N229"/>
  <c r="J228"/>
  <c r="J229"/>
  <c r="F228"/>
  <c r="F229"/>
  <c r="G218"/>
  <c r="I218"/>
  <c r="K218"/>
  <c r="L218"/>
  <c r="M218"/>
  <c r="O218"/>
  <c r="P218"/>
  <c r="Q218"/>
  <c r="S218"/>
  <c r="T218"/>
  <c r="U218"/>
  <c r="R220"/>
  <c r="R221"/>
  <c r="R222"/>
  <c r="R223"/>
  <c r="R224"/>
  <c r="N220"/>
  <c r="N221"/>
  <c r="N222"/>
  <c r="N223"/>
  <c r="N224"/>
  <c r="J220"/>
  <c r="J221"/>
  <c r="J222"/>
  <c r="J223"/>
  <c r="J224"/>
  <c r="F220"/>
  <c r="F221"/>
  <c r="F222"/>
  <c r="F223"/>
  <c r="F224"/>
  <c r="J219"/>
  <c r="G215"/>
  <c r="I215"/>
  <c r="K215"/>
  <c r="L215"/>
  <c r="M215"/>
  <c r="O215"/>
  <c r="P215"/>
  <c r="Q215"/>
  <c r="S215"/>
  <c r="T215"/>
  <c r="U215"/>
  <c r="R217"/>
  <c r="R215" s="1"/>
  <c r="N217"/>
  <c r="N215" s="1"/>
  <c r="J217"/>
  <c r="F217"/>
  <c r="F215" s="1"/>
  <c r="U207"/>
  <c r="G207"/>
  <c r="I207"/>
  <c r="K207"/>
  <c r="L207"/>
  <c r="M207"/>
  <c r="O207"/>
  <c r="P207"/>
  <c r="Q207"/>
  <c r="S207"/>
  <c r="T207"/>
  <c r="R209"/>
  <c r="R210"/>
  <c r="R211"/>
  <c r="R212"/>
  <c r="R214"/>
  <c r="N209"/>
  <c r="N210"/>
  <c r="N211"/>
  <c r="N212"/>
  <c r="N214"/>
  <c r="J209"/>
  <c r="J210"/>
  <c r="J211"/>
  <c r="J212"/>
  <c r="J214"/>
  <c r="F209"/>
  <c r="F210"/>
  <c r="F211"/>
  <c r="F212"/>
  <c r="F214"/>
  <c r="R205"/>
  <c r="R199" s="1"/>
  <c r="N205"/>
  <c r="N199" s="1"/>
  <c r="J205"/>
  <c r="F205"/>
  <c r="F199" s="1"/>
  <c r="R191"/>
  <c r="R189" s="1"/>
  <c r="R195"/>
  <c r="R193" s="1"/>
  <c r="N191"/>
  <c r="N189" s="1"/>
  <c r="N195"/>
  <c r="N193" s="1"/>
  <c r="J191"/>
  <c r="J195"/>
  <c r="F191"/>
  <c r="F189" s="1"/>
  <c r="F195"/>
  <c r="F193" s="1"/>
  <c r="K157"/>
  <c r="L157"/>
  <c r="O157"/>
  <c r="P157"/>
  <c r="Q157"/>
  <c r="S157"/>
  <c r="T157"/>
  <c r="U157"/>
  <c r="R159"/>
  <c r="R164"/>
  <c r="N159"/>
  <c r="J159"/>
  <c r="J164"/>
  <c r="F164"/>
  <c r="G153"/>
  <c r="G152" s="1"/>
  <c r="I153"/>
  <c r="I152" s="1"/>
  <c r="K153"/>
  <c r="L153"/>
  <c r="M153"/>
  <c r="M152" s="1"/>
  <c r="O153"/>
  <c r="P153"/>
  <c r="Q153"/>
  <c r="S153"/>
  <c r="T153"/>
  <c r="U153"/>
  <c r="R156"/>
  <c r="R155"/>
  <c r="N155"/>
  <c r="N156"/>
  <c r="J155"/>
  <c r="J156"/>
  <c r="F155"/>
  <c r="F156"/>
  <c r="G143"/>
  <c r="I143"/>
  <c r="K143"/>
  <c r="L143"/>
  <c r="M143"/>
  <c r="O143"/>
  <c r="P143"/>
  <c r="Q143"/>
  <c r="S143"/>
  <c r="T143"/>
  <c r="U143"/>
  <c r="R145"/>
  <c r="R146"/>
  <c r="R147"/>
  <c r="R148"/>
  <c r="R149"/>
  <c r="R150"/>
  <c r="R151"/>
  <c r="N145"/>
  <c r="N146"/>
  <c r="N147"/>
  <c r="N148"/>
  <c r="N149"/>
  <c r="N150"/>
  <c r="N151"/>
  <c r="J145"/>
  <c r="J146"/>
  <c r="J147"/>
  <c r="J148"/>
  <c r="J149"/>
  <c r="J150"/>
  <c r="J151"/>
  <c r="F145"/>
  <c r="F146"/>
  <c r="F147"/>
  <c r="F148"/>
  <c r="F149"/>
  <c r="F150"/>
  <c r="F151"/>
  <c r="G138"/>
  <c r="I138"/>
  <c r="K138"/>
  <c r="L138"/>
  <c r="M138"/>
  <c r="O138"/>
  <c r="P138"/>
  <c r="Q138"/>
  <c r="S138"/>
  <c r="T138"/>
  <c r="U138"/>
  <c r="R140"/>
  <c r="R141"/>
  <c r="R142"/>
  <c r="N140"/>
  <c r="N141"/>
  <c r="N142"/>
  <c r="J140"/>
  <c r="J141"/>
  <c r="J142"/>
  <c r="F140"/>
  <c r="F141"/>
  <c r="F142"/>
  <c r="G135"/>
  <c r="I135"/>
  <c r="K135"/>
  <c r="L135"/>
  <c r="M135"/>
  <c r="O135"/>
  <c r="P135"/>
  <c r="Q135"/>
  <c r="S135"/>
  <c r="T135"/>
  <c r="U135"/>
  <c r="R137"/>
  <c r="N137"/>
  <c r="J137"/>
  <c r="F137"/>
  <c r="G130"/>
  <c r="I130"/>
  <c r="K130"/>
  <c r="L130"/>
  <c r="M130"/>
  <c r="O130"/>
  <c r="P130"/>
  <c r="Q130"/>
  <c r="S130"/>
  <c r="T130"/>
  <c r="U130"/>
  <c r="G82"/>
  <c r="I82"/>
  <c r="K82"/>
  <c r="L82"/>
  <c r="M82"/>
  <c r="O82"/>
  <c r="P82"/>
  <c r="Q82"/>
  <c r="S82"/>
  <c r="T82"/>
  <c r="U82"/>
  <c r="G126"/>
  <c r="I126"/>
  <c r="K126"/>
  <c r="L126"/>
  <c r="M126"/>
  <c r="O126"/>
  <c r="P126"/>
  <c r="Q126"/>
  <c r="S126"/>
  <c r="T126"/>
  <c r="U126"/>
  <c r="R128"/>
  <c r="R126" s="1"/>
  <c r="N128"/>
  <c r="N126" s="1"/>
  <c r="J128"/>
  <c r="F128"/>
  <c r="G123"/>
  <c r="I123"/>
  <c r="K123"/>
  <c r="L123"/>
  <c r="M123"/>
  <c r="O123"/>
  <c r="P123"/>
  <c r="Q123"/>
  <c r="S123"/>
  <c r="T123"/>
  <c r="U123"/>
  <c r="R125"/>
  <c r="R123" s="1"/>
  <c r="N125"/>
  <c r="N123" s="1"/>
  <c r="J125"/>
  <c r="F125"/>
  <c r="G120"/>
  <c r="I120"/>
  <c r="K120"/>
  <c r="L120"/>
  <c r="M120"/>
  <c r="O120"/>
  <c r="P120"/>
  <c r="Q120"/>
  <c r="S120"/>
  <c r="T120"/>
  <c r="U120"/>
  <c r="R122"/>
  <c r="R120" s="1"/>
  <c r="N122"/>
  <c r="N120" s="1"/>
  <c r="J122"/>
  <c r="F122"/>
  <c r="F120" s="1"/>
  <c r="I112"/>
  <c r="K112"/>
  <c r="L112"/>
  <c r="M112"/>
  <c r="O112"/>
  <c r="P112"/>
  <c r="Q112"/>
  <c r="S112"/>
  <c r="T112"/>
  <c r="U112"/>
  <c r="R114"/>
  <c r="R115"/>
  <c r="R116"/>
  <c r="R117"/>
  <c r="R118"/>
  <c r="R119"/>
  <c r="N114"/>
  <c r="N115"/>
  <c r="N116"/>
  <c r="N117"/>
  <c r="N118"/>
  <c r="N119"/>
  <c r="J114"/>
  <c r="J115"/>
  <c r="J116"/>
  <c r="J117"/>
  <c r="J118"/>
  <c r="J119"/>
  <c r="F114"/>
  <c r="F115"/>
  <c r="F116"/>
  <c r="F117"/>
  <c r="F118"/>
  <c r="F119"/>
  <c r="R104"/>
  <c r="R105"/>
  <c r="R106"/>
  <c r="R107"/>
  <c r="R108"/>
  <c r="R110"/>
  <c r="R111"/>
  <c r="N104"/>
  <c r="N106"/>
  <c r="N107"/>
  <c r="N108"/>
  <c r="N110"/>
  <c r="N111"/>
  <c r="J104"/>
  <c r="J105"/>
  <c r="J106"/>
  <c r="J107"/>
  <c r="J108"/>
  <c r="J110"/>
  <c r="J111"/>
  <c r="F104"/>
  <c r="F106"/>
  <c r="F107"/>
  <c r="F108"/>
  <c r="F110"/>
  <c r="F111"/>
  <c r="G93"/>
  <c r="I93"/>
  <c r="K93"/>
  <c r="L93"/>
  <c r="M93"/>
  <c r="O93"/>
  <c r="P93"/>
  <c r="Q93"/>
  <c r="S93"/>
  <c r="T93"/>
  <c r="U93"/>
  <c r="R95"/>
  <c r="R96"/>
  <c r="R97"/>
  <c r="R98"/>
  <c r="R100"/>
  <c r="N95"/>
  <c r="N96"/>
  <c r="N97"/>
  <c r="N98"/>
  <c r="N100"/>
  <c r="J95"/>
  <c r="J96"/>
  <c r="J97"/>
  <c r="J98"/>
  <c r="J100"/>
  <c r="F95"/>
  <c r="F96"/>
  <c r="F97"/>
  <c r="F98"/>
  <c r="F100"/>
  <c r="R84"/>
  <c r="R85"/>
  <c r="R86"/>
  <c r="R87"/>
  <c r="R89"/>
  <c r="R92"/>
  <c r="N84"/>
  <c r="N85"/>
  <c r="N86"/>
  <c r="N87"/>
  <c r="N89"/>
  <c r="N92"/>
  <c r="J84"/>
  <c r="J85"/>
  <c r="J86"/>
  <c r="J87"/>
  <c r="J89"/>
  <c r="J92"/>
  <c r="F84"/>
  <c r="F85"/>
  <c r="F86"/>
  <c r="F87"/>
  <c r="F89"/>
  <c r="F92"/>
  <c r="R78"/>
  <c r="R76" s="1"/>
  <c r="N78"/>
  <c r="N76" s="1"/>
  <c r="J78"/>
  <c r="F78"/>
  <c r="F76" s="1"/>
  <c r="R74"/>
  <c r="R75"/>
  <c r="N74"/>
  <c r="N75"/>
  <c r="J74"/>
  <c r="J75"/>
  <c r="F74"/>
  <c r="F75"/>
  <c r="G72"/>
  <c r="I72"/>
  <c r="K72"/>
  <c r="L72"/>
  <c r="M72"/>
  <c r="O72"/>
  <c r="P72"/>
  <c r="Q72"/>
  <c r="S72"/>
  <c r="T72"/>
  <c r="U72"/>
  <c r="G63"/>
  <c r="I63"/>
  <c r="K63"/>
  <c r="L63"/>
  <c r="M63"/>
  <c r="O63"/>
  <c r="P63"/>
  <c r="Q63"/>
  <c r="S63"/>
  <c r="T63"/>
  <c r="U63"/>
  <c r="R65"/>
  <c r="R66"/>
  <c r="R67"/>
  <c r="N65"/>
  <c r="N66"/>
  <c r="N67"/>
  <c r="J65"/>
  <c r="J66"/>
  <c r="J67"/>
  <c r="F65"/>
  <c r="F66"/>
  <c r="F67"/>
  <c r="G55"/>
  <c r="I55"/>
  <c r="K55"/>
  <c r="L55"/>
  <c r="M55"/>
  <c r="O55"/>
  <c r="P55"/>
  <c r="Q55"/>
  <c r="S55"/>
  <c r="T55"/>
  <c r="U55"/>
  <c r="R57"/>
  <c r="R58"/>
  <c r="R59"/>
  <c r="R60"/>
  <c r="R61"/>
  <c r="R62"/>
  <c r="N57"/>
  <c r="N58"/>
  <c r="N59"/>
  <c r="N60"/>
  <c r="N61"/>
  <c r="N62"/>
  <c r="J57"/>
  <c r="J58"/>
  <c r="J59"/>
  <c r="J60"/>
  <c r="J61"/>
  <c r="J62"/>
  <c r="F57"/>
  <c r="F58"/>
  <c r="F59"/>
  <c r="F60"/>
  <c r="F61"/>
  <c r="F62"/>
  <c r="R53"/>
  <c r="R51" s="1"/>
  <c r="N53"/>
  <c r="N51" s="1"/>
  <c r="F51"/>
  <c r="G46"/>
  <c r="I46"/>
  <c r="K46"/>
  <c r="L46"/>
  <c r="M46"/>
  <c r="O46"/>
  <c r="P46"/>
  <c r="Q46"/>
  <c r="S46"/>
  <c r="T46"/>
  <c r="U46"/>
  <c r="R48"/>
  <c r="R49"/>
  <c r="N48"/>
  <c r="N49"/>
  <c r="J48"/>
  <c r="J49"/>
  <c r="F48"/>
  <c r="F49"/>
  <c r="G35"/>
  <c r="I35"/>
  <c r="K35"/>
  <c r="L35"/>
  <c r="M35"/>
  <c r="O35"/>
  <c r="P35"/>
  <c r="Q35"/>
  <c r="S35"/>
  <c r="T35"/>
  <c r="U35"/>
  <c r="R39"/>
  <c r="R41"/>
  <c r="R42"/>
  <c r="R43"/>
  <c r="R44"/>
  <c r="R45"/>
  <c r="N39"/>
  <c r="N41"/>
  <c r="N42"/>
  <c r="N43"/>
  <c r="N44"/>
  <c r="N45"/>
  <c r="J39"/>
  <c r="J41"/>
  <c r="J42"/>
  <c r="J43"/>
  <c r="J44"/>
  <c r="J45"/>
  <c r="F39"/>
  <c r="F41"/>
  <c r="F42"/>
  <c r="F43"/>
  <c r="F44"/>
  <c r="F45"/>
  <c r="R25"/>
  <c r="R26"/>
  <c r="R27"/>
  <c r="R28"/>
  <c r="R29"/>
  <c r="R30"/>
  <c r="R31"/>
  <c r="R32"/>
  <c r="R33"/>
  <c r="R34"/>
  <c r="N25"/>
  <c r="N26"/>
  <c r="N27"/>
  <c r="N28"/>
  <c r="N29"/>
  <c r="N30"/>
  <c r="N31"/>
  <c r="N32"/>
  <c r="N33"/>
  <c r="N34"/>
  <c r="J25"/>
  <c r="J26"/>
  <c r="J27"/>
  <c r="J28"/>
  <c r="J29"/>
  <c r="J30"/>
  <c r="J31"/>
  <c r="J32"/>
  <c r="J33"/>
  <c r="J34"/>
  <c r="F26"/>
  <c r="F27"/>
  <c r="F28"/>
  <c r="F29"/>
  <c r="F30"/>
  <c r="F31"/>
  <c r="F32"/>
  <c r="F33"/>
  <c r="F34"/>
  <c r="F25"/>
  <c r="I23"/>
  <c r="K23"/>
  <c r="L23"/>
  <c r="M23"/>
  <c r="O23"/>
  <c r="P23"/>
  <c r="Q23"/>
  <c r="S23"/>
  <c r="T23"/>
  <c r="U23"/>
  <c r="R16"/>
  <c r="R17"/>
  <c r="R18"/>
  <c r="R19"/>
  <c r="R20"/>
  <c r="R21"/>
  <c r="N16"/>
  <c r="N17"/>
  <c r="N18"/>
  <c r="N19"/>
  <c r="N20"/>
  <c r="N21"/>
  <c r="J16"/>
  <c r="J17"/>
  <c r="J18"/>
  <c r="J19"/>
  <c r="J20"/>
  <c r="J21"/>
  <c r="F16"/>
  <c r="F17"/>
  <c r="F18"/>
  <c r="F19"/>
  <c r="F20"/>
  <c r="F21"/>
  <c r="J157" l="1"/>
  <c r="S129"/>
  <c r="M129"/>
  <c r="G129"/>
  <c r="Q129"/>
  <c r="L129"/>
  <c r="T129"/>
  <c r="O129"/>
  <c r="I129"/>
  <c r="H129"/>
  <c r="U129"/>
  <c r="P129"/>
  <c r="K129"/>
  <c r="M247"/>
  <c r="U247"/>
  <c r="P247"/>
  <c r="V187"/>
  <c r="T247"/>
  <c r="I247"/>
  <c r="V34"/>
  <c r="V27"/>
  <c r="V89"/>
  <c r="V100"/>
  <c r="V108"/>
  <c r="V224"/>
  <c r="V269"/>
  <c r="V212"/>
  <c r="V213"/>
  <c r="V17"/>
  <c r="V33"/>
  <c r="V30"/>
  <c r="V26"/>
  <c r="V57"/>
  <c r="V66"/>
  <c r="V78"/>
  <c r="V95"/>
  <c r="V107"/>
  <c r="V118"/>
  <c r="V122"/>
  <c r="V125"/>
  <c r="V148"/>
  <c r="V195"/>
  <c r="V210"/>
  <c r="V223"/>
  <c r="V220"/>
  <c r="V256"/>
  <c r="V268"/>
  <c r="V42"/>
  <c r="V39"/>
  <c r="V104"/>
  <c r="V119"/>
  <c r="V142"/>
  <c r="V21"/>
  <c r="V44"/>
  <c r="V41"/>
  <c r="V48"/>
  <c r="V59"/>
  <c r="V97"/>
  <c r="V116"/>
  <c r="V150"/>
  <c r="V146"/>
  <c r="V173"/>
  <c r="V70"/>
  <c r="V32"/>
  <c r="V29"/>
  <c r="V25"/>
  <c r="V49"/>
  <c r="V65"/>
  <c r="V74"/>
  <c r="V117"/>
  <c r="V114"/>
  <c r="V140"/>
  <c r="V156"/>
  <c r="V214"/>
  <c r="V168"/>
  <c r="V58"/>
  <c r="V84"/>
  <c r="V96"/>
  <c r="V128"/>
  <c r="V164"/>
  <c r="V159"/>
  <c r="V169"/>
  <c r="V184"/>
  <c r="V251"/>
  <c r="V115"/>
  <c r="V145"/>
  <c r="V170"/>
  <c r="V85"/>
  <c r="V137"/>
  <c r="V155"/>
  <c r="V221"/>
  <c r="V235"/>
  <c r="V244"/>
  <c r="J262"/>
  <c r="V262" s="1"/>
  <c r="V265"/>
  <c r="J189"/>
  <c r="V189" s="1"/>
  <c r="V191"/>
  <c r="J51"/>
  <c r="V149"/>
  <c r="V243"/>
  <c r="V86"/>
  <c r="V98"/>
  <c r="V111"/>
  <c r="V106"/>
  <c r="V151"/>
  <c r="V147"/>
  <c r="V222"/>
  <c r="V236"/>
  <c r="V240"/>
  <c r="V245"/>
  <c r="V250"/>
  <c r="V255"/>
  <c r="V174"/>
  <c r="V209"/>
  <c r="F35"/>
  <c r="Q247"/>
  <c r="F153"/>
  <c r="K247"/>
  <c r="G101"/>
  <c r="L247"/>
  <c r="J76"/>
  <c r="V76" s="1"/>
  <c r="J258"/>
  <c r="V258" s="1"/>
  <c r="J193"/>
  <c r="V193" s="1"/>
  <c r="J175"/>
  <c r="V175" s="1"/>
  <c r="F226"/>
  <c r="N226"/>
  <c r="J226"/>
  <c r="R226"/>
  <c r="N188"/>
  <c r="F188"/>
  <c r="R188"/>
  <c r="J215"/>
  <c r="F82"/>
  <c r="R10"/>
  <c r="N10"/>
  <c r="J10"/>
  <c r="F10"/>
  <c r="F23"/>
  <c r="J182"/>
  <c r="J126"/>
  <c r="J199"/>
  <c r="V199" s="1"/>
  <c r="J185"/>
  <c r="J123"/>
  <c r="R101"/>
  <c r="J101"/>
  <c r="N241"/>
  <c r="H9"/>
  <c r="R241"/>
  <c r="J241"/>
  <c r="J232"/>
  <c r="F126"/>
  <c r="F241"/>
  <c r="F123"/>
  <c r="F185"/>
  <c r="F182"/>
  <c r="J120"/>
  <c r="V120" s="1"/>
  <c r="H157"/>
  <c r="F157" s="1"/>
  <c r="N232"/>
  <c r="F232"/>
  <c r="R234"/>
  <c r="R232" s="1"/>
  <c r="N105"/>
  <c r="N101" s="1"/>
  <c r="F105"/>
  <c r="V105" s="1"/>
  <c r="J166"/>
  <c r="Q165"/>
  <c r="P165"/>
  <c r="J135"/>
  <c r="Q152"/>
  <c r="L152"/>
  <c r="H247"/>
  <c r="J68"/>
  <c r="M81"/>
  <c r="Q81"/>
  <c r="L81"/>
  <c r="F266"/>
  <c r="N266"/>
  <c r="N257" s="1"/>
  <c r="F166"/>
  <c r="J171"/>
  <c r="R171"/>
  <c r="I165"/>
  <c r="L165"/>
  <c r="T81"/>
  <c r="U81"/>
  <c r="P81"/>
  <c r="K81"/>
  <c r="R135"/>
  <c r="H81"/>
  <c r="R166"/>
  <c r="U165"/>
  <c r="K165"/>
  <c r="T165"/>
  <c r="M165"/>
  <c r="H165"/>
  <c r="N68"/>
  <c r="N166"/>
  <c r="J130"/>
  <c r="S247"/>
  <c r="J266"/>
  <c r="R266"/>
  <c r="R257" s="1"/>
  <c r="F171"/>
  <c r="N171"/>
  <c r="G165"/>
  <c r="R68"/>
  <c r="O247"/>
  <c r="S165"/>
  <c r="O165"/>
  <c r="O81"/>
  <c r="S81"/>
  <c r="F68"/>
  <c r="G247"/>
  <c r="I81"/>
  <c r="H54"/>
  <c r="I54"/>
  <c r="T152"/>
  <c r="O152"/>
  <c r="L257"/>
  <c r="M54"/>
  <c r="R63"/>
  <c r="N72"/>
  <c r="T54"/>
  <c r="O54"/>
  <c r="J138"/>
  <c r="R157"/>
  <c r="S206"/>
  <c r="G206"/>
  <c r="I225"/>
  <c r="J238"/>
  <c r="R238"/>
  <c r="U54"/>
  <c r="N135"/>
  <c r="Q9"/>
  <c r="F46"/>
  <c r="N130"/>
  <c r="U152"/>
  <c r="P152"/>
  <c r="K152"/>
  <c r="L206"/>
  <c r="U206"/>
  <c r="L225"/>
  <c r="M225"/>
  <c r="S257"/>
  <c r="G257"/>
  <c r="M9"/>
  <c r="F72"/>
  <c r="K54"/>
  <c r="J153"/>
  <c r="R218"/>
  <c r="S225"/>
  <c r="T257"/>
  <c r="U9"/>
  <c r="K9"/>
  <c r="R35"/>
  <c r="R55"/>
  <c r="S54"/>
  <c r="F130"/>
  <c r="F135"/>
  <c r="N138"/>
  <c r="R138"/>
  <c r="N157"/>
  <c r="P206"/>
  <c r="K206"/>
  <c r="J218"/>
  <c r="K225"/>
  <c r="Q225"/>
  <c r="Q257"/>
  <c r="H206"/>
  <c r="M257"/>
  <c r="S9"/>
  <c r="G9"/>
  <c r="P54"/>
  <c r="R153"/>
  <c r="N218"/>
  <c r="G225"/>
  <c r="I257"/>
  <c r="O257"/>
  <c r="O9"/>
  <c r="I9"/>
  <c r="Q54"/>
  <c r="L54"/>
  <c r="R130"/>
  <c r="S152"/>
  <c r="O206"/>
  <c r="Q206"/>
  <c r="M206"/>
  <c r="I206"/>
  <c r="O225"/>
  <c r="U225"/>
  <c r="J248"/>
  <c r="R248"/>
  <c r="J252"/>
  <c r="U257"/>
  <c r="P257"/>
  <c r="K257"/>
  <c r="H257"/>
  <c r="R207"/>
  <c r="N248"/>
  <c r="N238"/>
  <c r="F238"/>
  <c r="R252"/>
  <c r="F252"/>
  <c r="N35"/>
  <c r="N82"/>
  <c r="N207"/>
  <c r="F207"/>
  <c r="T225"/>
  <c r="P225"/>
  <c r="H225"/>
  <c r="J207"/>
  <c r="J55"/>
  <c r="J46"/>
  <c r="J35"/>
  <c r="F55"/>
  <c r="F63"/>
  <c r="F138"/>
  <c r="F218"/>
  <c r="F248"/>
  <c r="R82"/>
  <c r="J82"/>
  <c r="T206"/>
  <c r="L9"/>
  <c r="J63"/>
  <c r="N55"/>
  <c r="R46"/>
  <c r="N46"/>
  <c r="T9"/>
  <c r="P9"/>
  <c r="J23"/>
  <c r="J93"/>
  <c r="R93"/>
  <c r="F143"/>
  <c r="J143"/>
  <c r="N143"/>
  <c r="R143"/>
  <c r="N252"/>
  <c r="N23"/>
  <c r="F93"/>
  <c r="N93"/>
  <c r="R23"/>
  <c r="N63"/>
  <c r="J72"/>
  <c r="R72"/>
  <c r="N153"/>
  <c r="F112"/>
  <c r="J112"/>
  <c r="N112"/>
  <c r="R112"/>
  <c r="R129" l="1"/>
  <c r="J129"/>
  <c r="N129"/>
  <c r="F129"/>
  <c r="V63"/>
  <c r="V23"/>
  <c r="V10"/>
  <c r="V35"/>
  <c r="V248"/>
  <c r="V153"/>
  <c r="V130"/>
  <c r="V171"/>
  <c r="V68"/>
  <c r="V226"/>
  <c r="V138"/>
  <c r="V72"/>
  <c r="V185"/>
  <c r="V112"/>
  <c r="V46"/>
  <c r="V266"/>
  <c r="V123"/>
  <c r="V135"/>
  <c r="V182"/>
  <c r="V238"/>
  <c r="V126"/>
  <c r="V143"/>
  <c r="V218"/>
  <c r="V241"/>
  <c r="V166"/>
  <c r="V93"/>
  <c r="V55"/>
  <c r="V252"/>
  <c r="V232"/>
  <c r="V157"/>
  <c r="V207"/>
  <c r="V82"/>
  <c r="H152"/>
  <c r="H8" s="1"/>
  <c r="F152"/>
  <c r="K8"/>
  <c r="G81"/>
  <c r="F225"/>
  <c r="J188"/>
  <c r="V188" s="1"/>
  <c r="J257"/>
  <c r="F101"/>
  <c r="V101" s="1"/>
  <c r="F257"/>
  <c r="J152"/>
  <c r="N247"/>
  <c r="J165"/>
  <c r="R152"/>
  <c r="F165"/>
  <c r="R165"/>
  <c r="M8"/>
  <c r="R247"/>
  <c r="J247"/>
  <c r="N165"/>
  <c r="J81"/>
  <c r="N152"/>
  <c r="J206"/>
  <c r="R81"/>
  <c r="N81"/>
  <c r="F247"/>
  <c r="J225"/>
  <c r="N206"/>
  <c r="F206"/>
  <c r="F54"/>
  <c r="O8"/>
  <c r="S8"/>
  <c r="Q8"/>
  <c r="U8"/>
  <c r="N54"/>
  <c r="R54"/>
  <c r="R206"/>
  <c r="J54"/>
  <c r="I8"/>
  <c r="R225"/>
  <c r="N225"/>
  <c r="P8"/>
  <c r="R9"/>
  <c r="T8"/>
  <c r="L8"/>
  <c r="J9"/>
  <c r="N9"/>
  <c r="F9"/>
  <c r="V152" l="1"/>
  <c r="V257"/>
  <c r="V9"/>
  <c r="V225"/>
  <c r="V206"/>
  <c r="V165"/>
  <c r="V54"/>
  <c r="V129"/>
  <c r="V247"/>
  <c r="F81"/>
  <c r="F8" s="1"/>
  <c r="J8"/>
  <c r="R8"/>
  <c r="N8"/>
  <c r="V81" l="1"/>
  <c r="V8"/>
  <c r="G54" l="1"/>
  <c r="G8" l="1"/>
</calcChain>
</file>

<file path=xl/sharedStrings.xml><?xml version="1.0" encoding="utf-8"?>
<sst xmlns="http://schemas.openxmlformats.org/spreadsheetml/2006/main" count="844" uniqueCount="462">
  <si>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</si>
  <si>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</si>
  <si>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</si>
  <si>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</si>
  <si>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</si>
  <si>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</si>
  <si>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</si>
  <si>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</si>
  <si>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</si>
  <si>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</si>
  <si>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</si>
  <si>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</si>
  <si>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</si>
  <si>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</si>
  <si>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</si>
  <si>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</si>
  <si>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</si>
  <si>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</si>
  <si>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</si>
  <si>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</si>
  <si>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</si>
  <si>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Приобретение автотранспорта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</si>
  <si>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</si>
  <si>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</si>
  <si>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</si>
  <si>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</si>
  <si>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</si>
  <si>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</si>
  <si>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</si>
  <si>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</si>
  <si>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</si>
  <si>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</si>
  <si>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</si>
  <si>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</si>
  <si>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</si>
  <si>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</si>
  <si>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</si>
  <si>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</si>
  <si>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</si>
  <si>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</si>
  <si>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</si>
  <si>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</si>
  <si>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</si>
  <si>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</si>
  <si>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</si>
  <si>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Организация проведения профилактических медицинских осмотров</t>
  </si>
  <si>
    <t>Оказание медицинской помощи с применением санитарной авиации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</si>
  <si>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</si>
  <si>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</si>
  <si>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</si>
  <si>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</si>
  <si>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Профилактика развития сердечно-сосудистых заболеваний и сердечно-сосудистых осложнений у пациентов высокого риска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</si>
  <si>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</si>
  <si>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</si>
  <si>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</si>
  <si>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Развитие профилактического направления в педиатрии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</si>
  <si>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</si>
  <si>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</si>
  <si>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</si>
  <si>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Обеспечение работоспособности государственных информационных систем в сфере здравоохранения, подключенных к ЕГИСЗ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</si>
  <si>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</si>
  <si>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</si>
  <si>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</si>
  <si>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</si>
  <si>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</si>
  <si>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</si>
  <si>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</si>
  <si>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</si>
  <si>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</si>
  <si>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</si>
  <si>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</si>
  <si>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</si>
  <si>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</si>
  <si>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</si>
  <si>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</si>
  <si>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</si>
  <si>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</si>
  <si>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</si>
  <si>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</si>
  <si>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</si>
  <si>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</si>
  <si>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</si>
  <si>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</si>
  <si>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</si>
  <si>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</si>
  <si>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</si>
  <si>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</si>
  <si>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</si>
  <si>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</si>
  <si>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</si>
  <si>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</si>
  <si>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</si>
  <si>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</si>
  <si>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</si>
  <si>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</si>
  <si>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</si>
  <si>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</si>
  <si>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</si>
  <si>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</si>
  <si>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</si>
  <si>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</si>
  <si>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</si>
  <si>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</si>
  <si>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</si>
  <si>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</si>
  <si>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</si>
  <si>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</si>
  <si>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</si>
  <si>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</si>
  <si>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</si>
  <si>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</si>
  <si>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</si>
  <si>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</si>
  <si>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</si>
  <si>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</si>
  <si>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</si>
  <si>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</si>
  <si>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</si>
  <si>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</si>
  <si>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</si>
  <si>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</si>
  <si>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</si>
  <si>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</si>
  <si>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</si>
  <si>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</si>
  <si>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</si>
  <si>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</si>
  <si>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</si>
  <si>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</si>
  <si>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</si>
  <si>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</si>
  <si>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</si>
  <si>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</si>
  <si>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</si>
  <si>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</si>
  <si>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</si>
  <si>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</si>
  <si>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</si>
  <si>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</si>
  <si>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</si>
  <si>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</si>
  <si>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</si>
  <si>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</si>
  <si>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</si>
  <si>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</si>
  <si>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</si>
  <si>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</si>
  <si>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</si>
  <si>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</si>
  <si>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</si>
  <si>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</si>
  <si>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Государственная поддержка малого и среднего предпринимательства в субъектах Российской Федерации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</si>
  <si>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</si>
  <si>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</si>
  <si>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</si>
  <si>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</si>
  <si>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</si>
  <si>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</si>
  <si>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</si>
  <si>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</si>
  <si>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</si>
  <si>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</si>
  <si>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</si>
  <si>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</si>
  <si>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</si>
  <si>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</si>
  <si>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</si>
  <si>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Капитальный ремонт муниципальных спортивных сооружений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</si>
  <si>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</si>
  <si>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</si>
  <si>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</si>
  <si>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</si>
  <si>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</si>
  <si>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</si>
  <si>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</si>
  <si>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</si>
  <si>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</si>
  <si>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</si>
  <si>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</si>
  <si>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Плановые ассигнования*, в том числе</t>
  </si>
  <si>
    <t>2021 год</t>
  </si>
  <si>
    <t>2022 год</t>
  </si>
  <si>
    <t>03WI455271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</si>
  <si>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</si>
  <si>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</si>
  <si>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03WI555272</t>
  </si>
  <si>
    <t>03WI555273</t>
  </si>
  <si>
    <t>Финансовое обеспечение затрат на развитие и обеспечение деятельности Гарантийного фонда Томской области</t>
  </si>
  <si>
    <t>Поддержка малого и среднего предпринимательства в субъектах Российской Федерации по созданию системы акселерации субъектов МСП, включая индивидуальных предпринимателей, в том числе инфраструктуры и сервисов поддержки, а также их ускоренное развитие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</si>
  <si>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</si>
  <si>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</si>
  <si>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</si>
  <si>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</si>
  <si>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</si>
  <si>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</si>
  <si>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</si>
  <si>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</si>
  <si>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</si>
  <si>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</si>
  <si>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</si>
  <si>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Возмещение затрат некоммерческим организациям на переобучение, повышение квалификации работников организаций - участников регионального проекта "Поддержка занятости и повышение эффективности рынка труда для обеспечения роста производительности труда"</t>
  </si>
  <si>
    <t>05WL355693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</si>
  <si>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</si>
  <si>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</si>
  <si>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</si>
  <si>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</si>
  <si>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05WP254613</t>
  </si>
  <si>
    <t>Возмещение затрат некоммерческим организациям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</si>
  <si>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</si>
  <si>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</si>
  <si>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</si>
  <si>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</si>
  <si>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</si>
  <si>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</si>
  <si>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</si>
  <si>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</si>
  <si>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</si>
  <si>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</si>
  <si>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</si>
  <si>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</si>
  <si>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</si>
  <si>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</si>
  <si>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</si>
  <si>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</si>
  <si>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</si>
  <si>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</si>
  <si>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</si>
  <si>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</si>
  <si>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</si>
  <si>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07WP354680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</si>
  <si>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</si>
  <si>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</si>
  <si>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</si>
  <si>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</si>
  <si>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</si>
  <si>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</si>
  <si>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</si>
  <si>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</si>
  <si>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</si>
  <si>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</si>
  <si>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</si>
  <si>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</si>
  <si>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</si>
  <si>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</si>
  <si>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</si>
  <si>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</si>
  <si>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</si>
  <si>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</si>
  <si>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</si>
  <si>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</si>
  <si>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</si>
  <si>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</si>
  <si>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</si>
  <si>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</si>
  <si>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</si>
  <si>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</si>
  <si>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</si>
  <si>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</si>
  <si>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</si>
  <si>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</si>
  <si>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</si>
  <si>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</si>
  <si>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</si>
  <si>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</si>
  <si>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</si>
  <si>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</si>
  <si>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</si>
  <si>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</si>
  <si>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</si>
  <si>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</si>
  <si>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</si>
  <si>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Возмещение затрат работодателям на профессиональное обучение и дополнительное профессиональное образование работников в возрасте 50-ти лет и старше, а также лиц предпенсионного возраста</t>
  </si>
  <si>
    <t>11WP352941</t>
  </si>
  <si>
    <t>Возмещение затрат некоммерческим организациям на профессиональное обучение и дополнительное профессиональное образование граждан в возрасте 50-ти лет и старше, а также лиц предпенсионного возраста</t>
  </si>
  <si>
    <t>11WP352943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</si>
  <si>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</si>
  <si>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</si>
  <si>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</si>
  <si>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</si>
  <si>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</si>
  <si>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</si>
  <si>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</si>
  <si>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</si>
  <si>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Доведение уровня безопасности объектов критической информационной инфраструктуры до установленных законодательством Российской Федерации требований</t>
  </si>
  <si>
    <t>20WD454070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</si>
  <si>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</si>
  <si>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</si>
  <si>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</si>
  <si>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</si>
  <si>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</si>
  <si>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</si>
  <si>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</si>
  <si>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</si>
  <si>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</si>
  <si>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</si>
  <si>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</si>
  <si>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</si>
  <si>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</si>
  <si>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</si>
  <si>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</si>
  <si>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</si>
  <si>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</si>
  <si>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</si>
  <si>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</si>
  <si>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</si>
  <si>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</si>
  <si>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</si>
  <si>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</si>
  <si>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</si>
  <si>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</si>
  <si>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</si>
  <si>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</si>
  <si>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</si>
  <si>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</si>
  <si>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</si>
  <si>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26WG252970</t>
  </si>
  <si>
    <t>07WN751141</t>
  </si>
  <si>
    <t>07WN1Д5540</t>
  </si>
  <si>
    <t>07WN100001</t>
  </si>
  <si>
    <t>07WN2Д0002</t>
  </si>
  <si>
    <t>07WN400004</t>
  </si>
  <si>
    <t>07WP4Д0003</t>
  </si>
  <si>
    <t>07WN100101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</si>
  <si>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</si>
  <si>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</si>
  <si>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</si>
  <si>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08WP540590</t>
  </si>
  <si>
    <t>Приобретение в муниципальную собственность объектов спортивного назначения</t>
  </si>
  <si>
    <t>08WP540006</t>
  </si>
  <si>
    <t>08WP540600</t>
  </si>
  <si>
    <t>Приобретение спортивно-технологического оборудования для создания хоккейных коробок с возможностью использования в летний период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</si>
  <si>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</si>
  <si>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</si>
  <si>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</si>
  <si>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</si>
  <si>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</si>
  <si>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</si>
  <si>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</si>
  <si>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</si>
  <si>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</si>
  <si>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</si>
  <si>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</si>
  <si>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</si>
  <si>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</si>
  <si>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09WE155202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</si>
  <si>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</si>
  <si>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09WE155201</t>
  </si>
  <si>
    <t>09WE262352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</si>
  <si>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</si>
  <si>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</si>
  <si>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</si>
  <si>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</si>
  <si>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</si>
  <si>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</si>
  <si>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</si>
  <si>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</si>
  <si>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</si>
  <si>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</si>
  <si>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</si>
  <si>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</si>
  <si>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</si>
  <si>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</si>
  <si>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</si>
  <si>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11WP30П009</t>
  </si>
  <si>
    <t>Разработка (корректировка) проектной документации в сфере социального обслуживания населения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</si>
  <si>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</si>
  <si>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09WP24П090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</si>
  <si>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</si>
  <si>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</si>
  <si>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</si>
  <si>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</si>
  <si>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</si>
  <si>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</si>
  <si>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</si>
  <si>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</si>
  <si>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</si>
  <si>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</si>
  <si>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</si>
  <si>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(тыс. руб.)</t>
  </si>
  <si>
    <t>Департамент защиты населения и территории Томской области</t>
  </si>
  <si>
    <t>* по данным сводной бюджетной росписи областного бюджета на 2020-2022 годы по состоянию на отчетную дату; лимиты бюджетных обязательств соответствуют плановым назначениям</t>
  </si>
  <si>
    <t>Поддержка малого и среднего предпринимательства по созданию системы акселерации субъектов малого и среднего предпринимательства, включая индивидуальных предпринимателей, в том числе инфраструктуры и сервисов поддержки, а также их ускоренное развитие</t>
  </si>
  <si>
    <t>03WI555276</t>
  </si>
  <si>
    <t>06WI754804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</si>
  <si>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</si>
  <si>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</si>
  <si>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</si>
  <si>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</si>
  <si>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</si>
  <si>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09WE201660</t>
  </si>
  <si>
    <t>Грант в форме субсидии федеральному государственному автономному образовательному учреждению высшего образования "Национальный исследовательский Томский государственный университет" на реализацию пилотных проектов по обновлению содержания и технологий дополнительного образования по приоритетным направлениям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</si>
  <si>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</si>
  <si>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</si>
  <si>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</si>
  <si>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11WP352930</t>
  </si>
  <si>
    <t>09WE141880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</si>
  <si>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</si>
  <si>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</si>
  <si>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</si>
  <si>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</si>
  <si>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801</t>
  </si>
  <si>
    <t>Департамент по управлению государственной собственностью Томской области</t>
  </si>
  <si>
    <t>03WI45527F</t>
  </si>
  <si>
    <t>09WE141890</t>
  </si>
  <si>
    <t>09WE152301</t>
  </si>
  <si>
    <t>Приобретение в муниципальную собственность объектов инженерной инфраструктуры</t>
  </si>
  <si>
    <t>821</t>
  </si>
  <si>
    <t>09WP25232П</t>
  </si>
  <si>
    <t>11WP35121И</t>
  </si>
  <si>
    <t>Строительство объектов коммунальной инфраструктуры государственной собственности Томской области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</si>
  <si>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</si>
  <si>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11WP35121П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</si>
  <si>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</si>
  <si>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</si>
  <si>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Приобретение жилых помещений в многоквартирных домах у застройщиков на территории муниципального образования "Город Томск"</t>
  </si>
  <si>
    <t>13WF34И950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</si>
  <si>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</t>
  </si>
  <si>
    <t>810</t>
  </si>
  <si>
    <t>26WG252681</t>
  </si>
  <si>
    <t>Разработка проектной документации на строительство объектов муниципальной собственности по обработке и утилизации твердых коммунальных отходов</t>
  </si>
  <si>
    <t>26WG24П110</t>
  </si>
  <si>
    <t>Государственная поддержка производства масличных культур</t>
  </si>
  <si>
    <t>06WT252590</t>
  </si>
  <si>
    <t>09WD362357</t>
  </si>
  <si>
    <t>09WD364157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</si>
  <si>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</si>
  <si>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</si>
  <si>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>Разработка проектной документации в сфере дорожного хозяйства</t>
  </si>
  <si>
    <t>18WR20П050</t>
  </si>
  <si>
    <t xml:space="preserve">Новое строительство и реконструкция </t>
  </si>
  <si>
    <t>07WN352271</t>
  </si>
  <si>
    <t>11WP351211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</si>
  <si>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</si>
  <si>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18WR20И050</t>
  </si>
  <si>
    <t>26WG252682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</si>
  <si>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"Экология"</t>
  </si>
  <si>
    <t>% исполне-ния</t>
  </si>
  <si>
    <t>Строительство опор двойного назначения на автомобильной дороге Томск - Аникино в Томском районе Томской области</t>
  </si>
  <si>
    <t>Финансовое обеспечение дорожной деятельности за счет средств резервного фонда Правительства Российской Федерации</t>
  </si>
  <si>
    <t>18WR158560</t>
  </si>
  <si>
    <t>13WF301990</t>
  </si>
  <si>
    <t>Подготовка документации по планировке территории для размещения объектов регионального значения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</si>
  <si>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 (мероприятия, осуществляемые за счет остатков средств областного бюджета на начало текущего финансового года</t>
  </si>
  <si>
    <t>26WG20П399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</si>
  <si>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</si>
  <si>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Оснащение зданий средствами обучения и воспитания для размещения дошкольных образовательных организаций</t>
  </si>
  <si>
    <t>09WP241060</t>
  </si>
  <si>
    <t>09WP241070</t>
  </si>
  <si>
    <t>Оснащение зданий для размещения дошкольных образовательных организаций оборудованием, предусмотренным проектной документацией</t>
  </si>
  <si>
    <t>Капитальные вложения в объекты государственной собственности в сфере жилищного строительства</t>
  </si>
  <si>
    <t>13WF30И030</t>
  </si>
  <si>
    <t>за счет средств местного бюджета</t>
  </si>
  <si>
    <r>
      <t xml:space="preserve">за счет средств местного бюджета </t>
    </r>
    <r>
      <rPr>
        <sz val="11"/>
        <color theme="1"/>
        <rFont val="Times New Roman"/>
        <family val="1"/>
        <charset val="204"/>
      </rPr>
      <t/>
    </r>
  </si>
  <si>
    <r>
      <t xml:space="preserve">за счет средств местного бюджета </t>
    </r>
    <r>
      <rPr>
        <b/>
        <sz val="13"/>
        <color theme="1"/>
        <rFont val="Times New Roman"/>
        <family val="1"/>
        <charset val="204"/>
      </rPr>
      <t xml:space="preserve"> </t>
    </r>
  </si>
  <si>
    <r>
      <t xml:space="preserve">за счет средств местного бюджета </t>
    </r>
    <r>
      <rPr>
        <i/>
        <sz val="13"/>
        <color theme="1"/>
        <rFont val="Times New Roman"/>
        <family val="1"/>
        <charset val="204"/>
      </rPr>
      <t/>
    </r>
  </si>
  <si>
    <r>
      <t>Информация о плановых ассигнованиях и кассовом исполнении расходов консолидированного бюджета Томской области 
на реализацию региональных проектов Томской области</t>
    </r>
    <r>
      <rPr>
        <b/>
        <sz val="14"/>
        <color rgb="FFFF0000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по состоянию на 01.12.2020</t>
    </r>
  </si>
  <si>
    <t>Реализация программы экспортных семинаров "Жизненный цикл экспортного проекта" для экспортноориентированных предприятий на территории Томской области</t>
  </si>
  <si>
    <t>01WT600720</t>
  </si>
  <si>
    <t>8.3</t>
  </si>
  <si>
    <t>97356,1*</t>
  </si>
  <si>
    <t>78908,3*</t>
  </si>
  <si>
    <t>Национальный проект "Международная кооперация и экспорт"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</si>
</sst>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theme="1"/>
      <name val="Times"/>
      <family val="1"/>
    </font>
    <font>
      <b/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14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right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5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165" fontId="1" fillId="2" borderId="4" xfId="0" applyNumberFormat="1" applyFon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5" fontId="1" fillId="3" borderId="4" xfId="0" applyNumberFormat="1" applyFont="1" applyFill="1" applyBorder="1" applyAlignment="1">
      <alignment horizontal="right" vertical="top"/>
    </xf>
    <xf numFmtId="164" fontId="11" fillId="3" borderId="4" xfId="0" applyNumberFormat="1" applyFont="1" applyFill="1" applyBorder="1" applyAlignment="1">
      <alignment horizontal="right" vertical="top"/>
    </xf>
    <xf numFmtId="165" fontId="11" fillId="3" borderId="4" xfId="0" applyNumberFormat="1" applyFont="1" applyFill="1" applyBorder="1" applyAlignment="1">
      <alignment horizontal="right" vertical="top"/>
    </xf>
    <xf numFmtId="164" fontId="1" fillId="0" borderId="4" xfId="0" applyNumberFormat="1" applyFont="1" applyFill="1" applyBorder="1" applyAlignment="1">
      <alignment horizontal="right" vertical="top"/>
    </xf>
    <xf numFmtId="164" fontId="13" fillId="3" borderId="4" xfId="0" applyNumberFormat="1" applyFont="1" applyFill="1" applyBorder="1" applyAlignment="1">
      <alignment horizontal="right" vertical="top"/>
    </xf>
    <xf numFmtId="165" fontId="13" fillId="3" borderId="4" xfId="0" applyNumberFormat="1" applyFont="1" applyFill="1" applyBorder="1" applyAlignment="1">
      <alignment horizontal="right" vertical="top"/>
    </xf>
    <xf numFmtId="165" fontId="1" fillId="0" borderId="4" xfId="0" applyNumberFormat="1" applyFont="1" applyFill="1" applyBorder="1" applyAlignment="1">
      <alignment horizontal="right" vertical="top"/>
    </xf>
    <xf numFmtId="164" fontId="12" fillId="3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" fontId="2" fillId="3" borderId="4" xfId="0" applyNumberFormat="1" applyFont="1" applyFill="1" applyBorder="1" applyAlignment="1">
      <alignment horizontal="center" vertical="top"/>
    </xf>
    <xf numFmtId="49" fontId="5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4" fillId="3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92"/>
  <sheetViews>
    <sheetView tabSelected="1" view="pageBreakPreview" zoomScale="75" zoomScaleNormal="100" zoomScaleSheetLayoutView="75" workbookViewId="0">
      <pane xSplit="4" ySplit="7" topLeftCell="J251" activePane="bottomRight" state="frozen"/>
      <selection pane="topRight" activeCell="E1" sqref="E1"/>
      <selection pane="bottomLeft" activeCell="A8" sqref="A8"/>
      <selection pane="bottomRight" activeCell="K6" sqref="K6"/>
    </sheetView>
  </sheetViews>
  <sheetFormatPr defaultColWidth="8.85546875" defaultRowHeight="15"/>
  <cols>
    <col min="1" max="1" width="6.42578125" style="2" customWidth="1"/>
    <col min="2" max="2" width="56.85546875" style="12" customWidth="1"/>
    <col min="3" max="3" width="7.7109375" style="2" customWidth="1"/>
    <col min="4" max="4" width="47.140625" style="2" customWidth="1"/>
    <col min="5" max="5" width="20.7109375" style="2" customWidth="1"/>
    <col min="6" max="6" width="17.42578125" style="2" customWidth="1"/>
    <col min="7" max="7" width="16" style="50" customWidth="1"/>
    <col min="8" max="8" width="17.85546875" style="50" customWidth="1"/>
    <col min="9" max="9" width="19.42578125" style="50" customWidth="1"/>
    <col min="10" max="10" width="17" style="2" customWidth="1"/>
    <col min="11" max="11" width="17.42578125" style="2" customWidth="1"/>
    <col min="12" max="12" width="17.5703125" style="2" customWidth="1"/>
    <col min="13" max="13" width="17.85546875" style="50" customWidth="1"/>
    <col min="14" max="14" width="17.42578125" style="2" customWidth="1"/>
    <col min="15" max="15" width="16" style="50" customWidth="1"/>
    <col min="16" max="16" width="17" style="50" customWidth="1"/>
    <col min="17" max="17" width="19.42578125" style="50" customWidth="1"/>
    <col min="18" max="18" width="17.28515625" style="2" customWidth="1"/>
    <col min="19" max="19" width="16" style="50" customWidth="1"/>
    <col min="20" max="20" width="18.28515625" style="50" customWidth="1"/>
    <col min="21" max="21" width="17.140625" style="50" customWidth="1"/>
    <col min="22" max="22" width="12.140625" style="2" customWidth="1"/>
    <col min="23" max="23" width="8.85546875" style="2"/>
    <col min="24" max="24" width="11" style="2" bestFit="1" customWidth="1"/>
    <col min="25" max="16384" width="8.85546875" style="2"/>
  </cols>
  <sheetData>
    <row r="1" spans="1:24" ht="15" customHeight="1">
      <c r="A1" s="78" t="s">
        <v>455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24" ht="37.5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</row>
    <row r="3" spans="1:24" ht="15.75">
      <c r="E3" s="3"/>
      <c r="U3" s="74"/>
      <c r="V3" s="51" t="s">
        <v>378</v>
      </c>
    </row>
    <row r="4" spans="1:24" ht="16.5" customHeight="1">
      <c r="A4" s="82" t="s">
        <v>0</v>
      </c>
      <c r="B4" s="79" t="s">
        <v>1</v>
      </c>
      <c r="C4" s="82" t="s">
        <v>2</v>
      </c>
      <c r="D4" s="82" t="s">
        <v>3</v>
      </c>
      <c r="E4" s="82" t="s">
        <v>4</v>
      </c>
      <c r="F4" s="75" t="s">
        <v>178</v>
      </c>
      <c r="G4" s="76"/>
      <c r="H4" s="76"/>
      <c r="I4" s="76"/>
      <c r="J4" s="76"/>
      <c r="K4" s="76"/>
      <c r="L4" s="76"/>
      <c r="M4" s="77"/>
      <c r="N4" s="89" t="s">
        <v>180</v>
      </c>
      <c r="O4" s="89"/>
      <c r="P4" s="89"/>
      <c r="Q4" s="89"/>
      <c r="R4" s="89" t="s">
        <v>181</v>
      </c>
      <c r="S4" s="89"/>
      <c r="T4" s="89"/>
      <c r="U4" s="89"/>
      <c r="V4" s="79" t="s">
        <v>436</v>
      </c>
    </row>
    <row r="5" spans="1:24" ht="16.5" customHeight="1">
      <c r="A5" s="83"/>
      <c r="B5" s="85"/>
      <c r="C5" s="83"/>
      <c r="D5" s="83"/>
      <c r="E5" s="87"/>
      <c r="F5" s="75" t="s">
        <v>5</v>
      </c>
      <c r="G5" s="76"/>
      <c r="H5" s="76"/>
      <c r="I5" s="77"/>
      <c r="J5" s="75" t="s">
        <v>6</v>
      </c>
      <c r="K5" s="76"/>
      <c r="L5" s="76"/>
      <c r="M5" s="77"/>
      <c r="N5" s="75" t="s">
        <v>5</v>
      </c>
      <c r="O5" s="76"/>
      <c r="P5" s="76"/>
      <c r="Q5" s="77"/>
      <c r="R5" s="75" t="s">
        <v>179</v>
      </c>
      <c r="S5" s="76"/>
      <c r="T5" s="76"/>
      <c r="U5" s="77"/>
      <c r="V5" s="80"/>
    </row>
    <row r="6" spans="1:24" ht="66">
      <c r="A6" s="84"/>
      <c r="B6" s="86"/>
      <c r="C6" s="84"/>
      <c r="D6" s="84"/>
      <c r="E6" s="88"/>
      <c r="F6" s="24" t="s">
        <v>7</v>
      </c>
      <c r="G6" s="72" t="s">
        <v>8</v>
      </c>
      <c r="H6" s="72" t="s">
        <v>9</v>
      </c>
      <c r="I6" s="73" t="s">
        <v>451</v>
      </c>
      <c r="J6" s="24" t="s">
        <v>7</v>
      </c>
      <c r="K6" s="72" t="s">
        <v>8</v>
      </c>
      <c r="L6" s="52" t="s">
        <v>9</v>
      </c>
      <c r="M6" s="73" t="s">
        <v>452</v>
      </c>
      <c r="N6" s="24" t="s">
        <v>7</v>
      </c>
      <c r="O6" s="72" t="s">
        <v>8</v>
      </c>
      <c r="P6" s="72" t="s">
        <v>9</v>
      </c>
      <c r="Q6" s="73" t="s">
        <v>453</v>
      </c>
      <c r="R6" s="24" t="s">
        <v>7</v>
      </c>
      <c r="S6" s="72" t="s">
        <v>8</v>
      </c>
      <c r="T6" s="72" t="s">
        <v>9</v>
      </c>
      <c r="U6" s="73" t="s">
        <v>454</v>
      </c>
      <c r="V6" s="81"/>
    </row>
    <row r="7" spans="1:24" ht="16.5">
      <c r="A7" s="44" t="s">
        <v>10</v>
      </c>
      <c r="B7" s="13">
        <v>2</v>
      </c>
      <c r="C7" s="5">
        <v>3</v>
      </c>
      <c r="D7" s="5">
        <v>4</v>
      </c>
      <c r="E7" s="5">
        <v>5</v>
      </c>
      <c r="F7" s="24">
        <v>14</v>
      </c>
      <c r="G7" s="72">
        <v>15</v>
      </c>
      <c r="H7" s="72">
        <v>16</v>
      </c>
      <c r="I7" s="73">
        <v>17</v>
      </c>
      <c r="J7" s="24">
        <v>18</v>
      </c>
      <c r="K7" s="72">
        <v>19</v>
      </c>
      <c r="L7" s="52">
        <v>20</v>
      </c>
      <c r="M7" s="73">
        <v>21</v>
      </c>
      <c r="N7" s="24">
        <v>22</v>
      </c>
      <c r="O7" s="72">
        <v>23</v>
      </c>
      <c r="P7" s="72">
        <v>24</v>
      </c>
      <c r="Q7" s="73">
        <v>25</v>
      </c>
      <c r="R7" s="24">
        <v>26</v>
      </c>
      <c r="S7" s="72">
        <v>27</v>
      </c>
      <c r="T7" s="72">
        <v>28</v>
      </c>
      <c r="U7" s="73">
        <v>29</v>
      </c>
      <c r="V7" s="53">
        <v>30</v>
      </c>
    </row>
    <row r="8" spans="1:24" ht="19.5">
      <c r="A8" s="45"/>
      <c r="B8" s="14" t="s">
        <v>11</v>
      </c>
      <c r="C8" s="5"/>
      <c r="D8" s="5"/>
      <c r="E8" s="5"/>
      <c r="F8" s="54">
        <f t="shared" ref="F8:U8" si="0">F9+F54+F81+F129+F152+F165+F188+F206+F225+F247+F257</f>
        <v>13933145.6</v>
      </c>
      <c r="G8" s="55">
        <f t="shared" si="0"/>
        <v>5797140.7999999998</v>
      </c>
      <c r="H8" s="55">
        <f t="shared" si="0"/>
        <v>7596898.5</v>
      </c>
      <c r="I8" s="55">
        <f t="shared" si="0"/>
        <v>539106.30000000005</v>
      </c>
      <c r="J8" s="54">
        <f t="shared" si="0"/>
        <v>10098606.4</v>
      </c>
      <c r="K8" s="55">
        <f t="shared" si="0"/>
        <v>4932615.5999999996</v>
      </c>
      <c r="L8" s="55">
        <f t="shared" si="0"/>
        <v>4748579.7</v>
      </c>
      <c r="M8" s="55">
        <f t="shared" si="0"/>
        <v>417411.1</v>
      </c>
      <c r="N8" s="54">
        <f t="shared" si="0"/>
        <v>15230485.6</v>
      </c>
      <c r="O8" s="55">
        <f t="shared" si="0"/>
        <v>6607998.4000000004</v>
      </c>
      <c r="P8" s="55">
        <f t="shared" si="0"/>
        <v>8201312.2000000002</v>
      </c>
      <c r="Q8" s="55">
        <f t="shared" si="0"/>
        <v>421175</v>
      </c>
      <c r="R8" s="54">
        <f t="shared" si="0"/>
        <v>10486493.199999999</v>
      </c>
      <c r="S8" s="55">
        <f t="shared" si="0"/>
        <v>6505388.5999999996</v>
      </c>
      <c r="T8" s="55">
        <f t="shared" si="0"/>
        <v>3916926.5</v>
      </c>
      <c r="U8" s="55">
        <f t="shared" si="0"/>
        <v>64178.1</v>
      </c>
      <c r="V8" s="56">
        <f>J8/F8</f>
        <v>0.72499999999999998</v>
      </c>
      <c r="X8" s="23"/>
    </row>
    <row r="9" spans="1:24" ht="18.75">
      <c r="A9" s="46">
        <v>1</v>
      </c>
      <c r="B9" s="21" t="s">
        <v>12</v>
      </c>
      <c r="C9" s="1" t="s">
        <v>13</v>
      </c>
      <c r="D9" s="1" t="s">
        <v>13</v>
      </c>
      <c r="E9" s="1" t="s">
        <v>13</v>
      </c>
      <c r="F9" s="57">
        <f t="shared" ref="F9:U9" si="1">F10+F23+F35+F46+F51</f>
        <v>3307328.3</v>
      </c>
      <c r="G9" s="57">
        <f t="shared" si="1"/>
        <v>1267273</v>
      </c>
      <c r="H9" s="57">
        <f t="shared" si="1"/>
        <v>1978194.1</v>
      </c>
      <c r="I9" s="57">
        <f t="shared" si="1"/>
        <v>61861.2</v>
      </c>
      <c r="J9" s="57">
        <f t="shared" si="1"/>
        <v>2283372.2999999998</v>
      </c>
      <c r="K9" s="57">
        <f t="shared" si="1"/>
        <v>921365.8</v>
      </c>
      <c r="L9" s="57">
        <f t="shared" si="1"/>
        <v>1338896.8</v>
      </c>
      <c r="M9" s="57">
        <f t="shared" si="1"/>
        <v>23109.7</v>
      </c>
      <c r="N9" s="57">
        <f t="shared" si="1"/>
        <v>3848368.1</v>
      </c>
      <c r="O9" s="57">
        <f t="shared" si="1"/>
        <v>1312418.3</v>
      </c>
      <c r="P9" s="57">
        <f t="shared" si="1"/>
        <v>2515510.9</v>
      </c>
      <c r="Q9" s="57">
        <f t="shared" si="1"/>
        <v>20438.900000000001</v>
      </c>
      <c r="R9" s="57">
        <f t="shared" si="1"/>
        <v>2622687.6</v>
      </c>
      <c r="S9" s="57">
        <f t="shared" si="1"/>
        <v>877483.5</v>
      </c>
      <c r="T9" s="57">
        <f t="shared" si="1"/>
        <v>1736064.8</v>
      </c>
      <c r="U9" s="57">
        <f t="shared" si="1"/>
        <v>9139.2999999999993</v>
      </c>
      <c r="V9" s="58">
        <f t="shared" ref="V9:V59" si="2">J9/F9</f>
        <v>0.69</v>
      </c>
    </row>
    <row r="10" spans="1:24" ht="33">
      <c r="A10" s="41" t="s">
        <v>14</v>
      </c>
      <c r="B10" s="26" t="s">
        <v>15</v>
      </c>
      <c r="C10" s="27" t="s">
        <v>13</v>
      </c>
      <c r="D10" s="27" t="s">
        <v>13</v>
      </c>
      <c r="E10" s="27" t="s">
        <v>13</v>
      </c>
      <c r="F10" s="59">
        <f t="shared" ref="F10:U10" si="3">SUM(F12:F22)</f>
        <v>337385.9</v>
      </c>
      <c r="G10" s="59">
        <f t="shared" si="3"/>
        <v>52107.5</v>
      </c>
      <c r="H10" s="59">
        <f t="shared" si="3"/>
        <v>285278.40000000002</v>
      </c>
      <c r="I10" s="59">
        <f t="shared" si="3"/>
        <v>0</v>
      </c>
      <c r="J10" s="59">
        <f t="shared" si="3"/>
        <v>219043.1</v>
      </c>
      <c r="K10" s="59">
        <f t="shared" si="3"/>
        <v>6994.7</v>
      </c>
      <c r="L10" s="59">
        <f t="shared" si="3"/>
        <v>212048.4</v>
      </c>
      <c r="M10" s="59">
        <f t="shared" si="3"/>
        <v>0</v>
      </c>
      <c r="N10" s="59">
        <f t="shared" si="3"/>
        <v>117182.9</v>
      </c>
      <c r="O10" s="59">
        <f t="shared" si="3"/>
        <v>39795.300000000003</v>
      </c>
      <c r="P10" s="59">
        <f t="shared" si="3"/>
        <v>77387.600000000006</v>
      </c>
      <c r="Q10" s="59">
        <f t="shared" si="3"/>
        <v>0</v>
      </c>
      <c r="R10" s="59">
        <f t="shared" si="3"/>
        <v>26749.200000000001</v>
      </c>
      <c r="S10" s="59">
        <f t="shared" si="3"/>
        <v>796.2</v>
      </c>
      <c r="T10" s="59">
        <f t="shared" si="3"/>
        <v>25953</v>
      </c>
      <c r="U10" s="59">
        <f t="shared" si="3"/>
        <v>0</v>
      </c>
      <c r="V10" s="60">
        <f t="shared" si="2"/>
        <v>0.64900000000000002</v>
      </c>
    </row>
    <row r="11" spans="1:24" ht="18.75">
      <c r="A11" s="41"/>
      <c r="B11" s="28" t="s">
        <v>16</v>
      </c>
      <c r="C11" s="29"/>
      <c r="D11" s="29"/>
      <c r="E11" s="29"/>
      <c r="F11" s="59"/>
      <c r="G11" s="61"/>
      <c r="H11" s="61"/>
      <c r="I11" s="61"/>
      <c r="J11" s="59"/>
      <c r="K11" s="61"/>
      <c r="L11" s="61"/>
      <c r="M11" s="61"/>
      <c r="N11" s="59"/>
      <c r="O11" s="61"/>
      <c r="P11" s="61"/>
      <c r="Q11" s="61"/>
      <c r="R11" s="59"/>
      <c r="S11" s="61"/>
      <c r="T11" s="61"/>
      <c r="U11" s="61"/>
      <c r="V11" s="62"/>
    </row>
    <row r="12" spans="1:24" ht="81" customHeight="1">
      <c r="A12" s="41"/>
      <c r="B12" s="32" t="s">
        <v>19</v>
      </c>
      <c r="C12" s="29">
        <v>811</v>
      </c>
      <c r="D12" s="31" t="s">
        <v>18</v>
      </c>
      <c r="E12" s="29" t="s">
        <v>386</v>
      </c>
      <c r="F12" s="59">
        <f t="shared" ref="F12:F21" si="4">G12+H12+I12</f>
        <v>212.2</v>
      </c>
      <c r="G12" s="61"/>
      <c r="H12" s="61">
        <v>212.2</v>
      </c>
      <c r="I12" s="61"/>
      <c r="J12" s="59">
        <f>K12+L12+M12</f>
        <v>210.7</v>
      </c>
      <c r="K12" s="61"/>
      <c r="L12" s="61">
        <v>210.7</v>
      </c>
      <c r="M12" s="61"/>
      <c r="N12" s="59">
        <f t="shared" ref="N12:N21" si="5">O12+P12+Q12</f>
        <v>212</v>
      </c>
      <c r="O12" s="61"/>
      <c r="P12" s="61">
        <v>212</v>
      </c>
      <c r="Q12" s="61"/>
      <c r="R12" s="59">
        <f>S12+T12+U12</f>
        <v>212</v>
      </c>
      <c r="S12" s="61"/>
      <c r="T12" s="61">
        <v>212</v>
      </c>
      <c r="U12" s="61"/>
      <c r="V12" s="62">
        <f t="shared" si="2"/>
        <v>0.99299999999999999</v>
      </c>
    </row>
    <row r="13" spans="1:24" ht="84" customHeight="1">
      <c r="A13" s="41"/>
      <c r="B13" s="32" t="s">
        <v>432</v>
      </c>
      <c r="C13" s="29">
        <v>821</v>
      </c>
      <c r="D13" s="31" t="s">
        <v>20</v>
      </c>
      <c r="E13" s="29" t="s">
        <v>431</v>
      </c>
      <c r="F13" s="59">
        <f t="shared" si="4"/>
        <v>402</v>
      </c>
      <c r="G13" s="61">
        <f>402-0.03</f>
        <v>402</v>
      </c>
      <c r="H13" s="61"/>
      <c r="I13" s="61"/>
      <c r="J13" s="59">
        <f>K13+L13+M13</f>
        <v>284.7</v>
      </c>
      <c r="K13" s="61">
        <f>189.8+94.88</f>
        <v>284.7</v>
      </c>
      <c r="L13" s="61"/>
      <c r="M13" s="61"/>
      <c r="N13" s="59">
        <f t="shared" si="5"/>
        <v>8.3000000000000007</v>
      </c>
      <c r="O13" s="61">
        <v>8.3000000000000007</v>
      </c>
      <c r="P13" s="61"/>
      <c r="Q13" s="61"/>
      <c r="R13" s="59">
        <f t="shared" ref="R13:R14" si="6">S13+T13+U13</f>
        <v>0</v>
      </c>
      <c r="S13" s="61"/>
      <c r="T13" s="61"/>
      <c r="U13" s="61"/>
      <c r="V13" s="62">
        <f t="shared" si="2"/>
        <v>0.70799999999999996</v>
      </c>
    </row>
    <row r="14" spans="1:24" ht="58.5" customHeight="1">
      <c r="A14" s="41"/>
      <c r="B14" s="32" t="s">
        <v>409</v>
      </c>
      <c r="C14" s="29">
        <v>821</v>
      </c>
      <c r="D14" s="31" t="s">
        <v>20</v>
      </c>
      <c r="E14" s="29" t="s">
        <v>408</v>
      </c>
      <c r="F14" s="59">
        <f t="shared" si="4"/>
        <v>37112.699999999997</v>
      </c>
      <c r="G14" s="61">
        <f>11009.2+5040+21063.5</f>
        <v>37112.699999999997</v>
      </c>
      <c r="H14" s="61"/>
      <c r="I14" s="61"/>
      <c r="J14" s="59">
        <f>K14+L14+M14</f>
        <v>0</v>
      </c>
      <c r="K14" s="61"/>
      <c r="L14" s="61"/>
      <c r="M14" s="61"/>
      <c r="N14" s="59">
        <f t="shared" si="5"/>
        <v>22440</v>
      </c>
      <c r="O14" s="61">
        <f>14960+7480</f>
        <v>22440</v>
      </c>
      <c r="P14" s="61"/>
      <c r="Q14" s="61"/>
      <c r="R14" s="59">
        <f t="shared" si="6"/>
        <v>0</v>
      </c>
      <c r="S14" s="61"/>
      <c r="T14" s="61"/>
      <c r="U14" s="61"/>
      <c r="V14" s="62">
        <f t="shared" si="2"/>
        <v>0</v>
      </c>
    </row>
    <row r="15" spans="1:24" ht="74.25" customHeight="1">
      <c r="A15" s="41"/>
      <c r="B15" s="32" t="s">
        <v>410</v>
      </c>
      <c r="C15" s="29">
        <v>821</v>
      </c>
      <c r="D15" s="31" t="s">
        <v>20</v>
      </c>
      <c r="E15" s="29" t="s">
        <v>411</v>
      </c>
      <c r="F15" s="59">
        <f t="shared" si="4"/>
        <v>5635.2</v>
      </c>
      <c r="G15" s="61">
        <f>1670.8+2826.5+1137.9</f>
        <v>5635.2</v>
      </c>
      <c r="H15" s="61"/>
      <c r="I15" s="61"/>
      <c r="J15" s="59">
        <f t="shared" ref="J15" si="7">K15+L15+M15</f>
        <v>197.2</v>
      </c>
      <c r="K15" s="61">
        <v>197.2</v>
      </c>
      <c r="L15" s="61"/>
      <c r="M15" s="61"/>
      <c r="N15" s="59">
        <f t="shared" si="5"/>
        <v>0</v>
      </c>
      <c r="O15" s="61"/>
      <c r="P15" s="61"/>
      <c r="Q15" s="61"/>
      <c r="R15" s="59">
        <f t="shared" ref="R15" si="8">S15+T15+U15</f>
        <v>0</v>
      </c>
      <c r="S15" s="61"/>
      <c r="T15" s="61"/>
      <c r="U15" s="61"/>
      <c r="V15" s="62">
        <f t="shared" si="2"/>
        <v>3.5000000000000003E-2</v>
      </c>
    </row>
    <row r="16" spans="1:24" ht="58.5" customHeight="1">
      <c r="A16" s="41"/>
      <c r="B16" s="32" t="s">
        <v>364</v>
      </c>
      <c r="C16" s="29">
        <v>821</v>
      </c>
      <c r="D16" s="31" t="s">
        <v>20</v>
      </c>
      <c r="E16" s="29" t="s">
        <v>363</v>
      </c>
      <c r="F16" s="59">
        <f t="shared" si="4"/>
        <v>0</v>
      </c>
      <c r="G16" s="61">
        <f>8026.5-2600-2826.5-2600</f>
        <v>0</v>
      </c>
      <c r="H16" s="61"/>
      <c r="I16" s="61"/>
      <c r="J16" s="59">
        <f t="shared" ref="J16:J21" si="9">K16+L16+M16</f>
        <v>0</v>
      </c>
      <c r="K16" s="61"/>
      <c r="L16" s="61"/>
      <c r="M16" s="61"/>
      <c r="N16" s="59">
        <f t="shared" si="5"/>
        <v>0</v>
      </c>
      <c r="O16" s="61"/>
      <c r="P16" s="61"/>
      <c r="Q16" s="61"/>
      <c r="R16" s="59">
        <f t="shared" ref="R16:R21" si="10">S16+T16+U16</f>
        <v>0</v>
      </c>
      <c r="S16" s="61"/>
      <c r="T16" s="61"/>
      <c r="U16" s="61"/>
      <c r="V16" s="62"/>
    </row>
    <row r="17" spans="1:22" ht="72.75" customHeight="1">
      <c r="A17" s="41"/>
      <c r="B17" s="32" t="s">
        <v>269</v>
      </c>
      <c r="C17" s="29">
        <v>839</v>
      </c>
      <c r="D17" s="31" t="s">
        <v>17</v>
      </c>
      <c r="E17" s="29" t="s">
        <v>270</v>
      </c>
      <c r="F17" s="59">
        <f t="shared" si="4"/>
        <v>3405.4</v>
      </c>
      <c r="G17" s="61">
        <f>165.7+228.99+15.84+0.76-309.12</f>
        <v>102.2</v>
      </c>
      <c r="H17" s="61">
        <f>5356.9+7404.7+512.1+24.44-9994.91</f>
        <v>3303.2</v>
      </c>
      <c r="I17" s="61"/>
      <c r="J17" s="59">
        <f t="shared" si="9"/>
        <v>3042.3</v>
      </c>
      <c r="K17" s="61">
        <f>85.2+5.66+0.36</f>
        <v>91.2</v>
      </c>
      <c r="L17" s="61">
        <f>2718.3+38.07+183.07+11.64</f>
        <v>2951.1</v>
      </c>
      <c r="M17" s="61"/>
      <c r="N17" s="59">
        <f t="shared" si="5"/>
        <v>5522.6</v>
      </c>
      <c r="O17" s="61">
        <v>165.7</v>
      </c>
      <c r="P17" s="61">
        <v>5356.9</v>
      </c>
      <c r="Q17" s="61"/>
      <c r="R17" s="59">
        <f t="shared" si="10"/>
        <v>5522.6</v>
      </c>
      <c r="S17" s="61">
        <v>165.7</v>
      </c>
      <c r="T17" s="61">
        <v>5356.9</v>
      </c>
      <c r="U17" s="61"/>
      <c r="V17" s="62">
        <f t="shared" si="2"/>
        <v>0.89300000000000002</v>
      </c>
    </row>
    <row r="18" spans="1:22" ht="90.75" customHeight="1">
      <c r="A18" s="33"/>
      <c r="B18" s="34" t="s">
        <v>271</v>
      </c>
      <c r="C18" s="35">
        <v>839</v>
      </c>
      <c r="D18" s="36" t="s">
        <v>17</v>
      </c>
      <c r="E18" s="29" t="s">
        <v>272</v>
      </c>
      <c r="F18" s="59">
        <f t="shared" si="4"/>
        <v>0</v>
      </c>
      <c r="G18" s="61">
        <f>142.2+5.24-14.24-0.76-132.4</f>
        <v>0</v>
      </c>
      <c r="H18" s="61">
        <f>4595.9+166.6-460.31-24.44-4277.75</f>
        <v>0</v>
      </c>
      <c r="I18" s="61"/>
      <c r="J18" s="59">
        <f t="shared" si="9"/>
        <v>0</v>
      </c>
      <c r="K18" s="61"/>
      <c r="L18" s="61"/>
      <c r="M18" s="61"/>
      <c r="N18" s="59">
        <f t="shared" si="5"/>
        <v>4738.1000000000004</v>
      </c>
      <c r="O18" s="61">
        <v>142.19999999999999</v>
      </c>
      <c r="P18" s="61">
        <v>4595.8999999999996</v>
      </c>
      <c r="Q18" s="61"/>
      <c r="R18" s="59">
        <f t="shared" si="10"/>
        <v>4738.1000000000004</v>
      </c>
      <c r="S18" s="61">
        <v>142.19999999999999</v>
      </c>
      <c r="T18" s="61">
        <v>4595.8999999999996</v>
      </c>
      <c r="U18" s="61"/>
      <c r="V18" s="62"/>
    </row>
    <row r="19" spans="1:22" ht="92.25" customHeight="1">
      <c r="A19" s="33"/>
      <c r="B19" s="34" t="s">
        <v>273</v>
      </c>
      <c r="C19" s="35">
        <v>839</v>
      </c>
      <c r="D19" s="36" t="s">
        <v>17</v>
      </c>
      <c r="E19" s="29" t="s">
        <v>274</v>
      </c>
      <c r="F19" s="59">
        <f t="shared" si="4"/>
        <v>0</v>
      </c>
      <c r="G19" s="61">
        <f>488.3-234.23-1.6-252.47</f>
        <v>0</v>
      </c>
      <c r="H19" s="61">
        <f>15788.2-7571.26-51.8-8165.14</f>
        <v>0</v>
      </c>
      <c r="I19" s="61"/>
      <c r="J19" s="59">
        <f t="shared" si="9"/>
        <v>0</v>
      </c>
      <c r="K19" s="61"/>
      <c r="L19" s="61"/>
      <c r="M19" s="61"/>
      <c r="N19" s="59">
        <f t="shared" si="5"/>
        <v>16276.5</v>
      </c>
      <c r="O19" s="61">
        <v>488.3</v>
      </c>
      <c r="P19" s="61">
        <v>15788.2</v>
      </c>
      <c r="Q19" s="61"/>
      <c r="R19" s="59">
        <f t="shared" si="10"/>
        <v>16276.5</v>
      </c>
      <c r="S19" s="61">
        <v>488.3</v>
      </c>
      <c r="T19" s="61">
        <v>15788.2</v>
      </c>
      <c r="U19" s="61"/>
      <c r="V19" s="62"/>
    </row>
    <row r="20" spans="1:22" ht="75" customHeight="1">
      <c r="A20" s="41"/>
      <c r="B20" s="32" t="s">
        <v>19</v>
      </c>
      <c r="C20" s="29">
        <v>811</v>
      </c>
      <c r="D20" s="31" t="s">
        <v>18</v>
      </c>
      <c r="E20" s="29" t="s">
        <v>229</v>
      </c>
      <c r="F20" s="59">
        <f t="shared" si="4"/>
        <v>0</v>
      </c>
      <c r="G20" s="61"/>
      <c r="H20" s="61">
        <f>212.2-212.2</f>
        <v>0</v>
      </c>
      <c r="I20" s="61"/>
      <c r="J20" s="59">
        <f t="shared" si="9"/>
        <v>0</v>
      </c>
      <c r="K20" s="61"/>
      <c r="L20" s="61"/>
      <c r="M20" s="61"/>
      <c r="N20" s="59">
        <f t="shared" si="5"/>
        <v>0</v>
      </c>
      <c r="O20" s="61"/>
      <c r="P20" s="61">
        <f>212.2-212.2</f>
        <v>0</v>
      </c>
      <c r="Q20" s="61"/>
      <c r="R20" s="59">
        <f t="shared" si="10"/>
        <v>0</v>
      </c>
      <c r="S20" s="61"/>
      <c r="T20" s="61">
        <f>212.2-212.2</f>
        <v>0</v>
      </c>
      <c r="U20" s="61"/>
      <c r="V20" s="62"/>
    </row>
    <row r="21" spans="1:22" ht="174.75" customHeight="1">
      <c r="A21" s="41"/>
      <c r="B21" s="32" t="s">
        <v>385</v>
      </c>
      <c r="C21" s="29">
        <v>821</v>
      </c>
      <c r="D21" s="31" t="s">
        <v>20</v>
      </c>
      <c r="E21" s="29" t="s">
        <v>268</v>
      </c>
      <c r="F21" s="59">
        <f t="shared" si="4"/>
        <v>289359.5</v>
      </c>
      <c r="G21" s="61">
        <v>8855.4</v>
      </c>
      <c r="H21" s="61">
        <f>197445.6+88878.5-5820</f>
        <v>280504.09999999998</v>
      </c>
      <c r="I21" s="61"/>
      <c r="J21" s="59">
        <f t="shared" si="9"/>
        <v>214049.3</v>
      </c>
      <c r="K21" s="61">
        <f>2839.5+896.58+357.56+875.88+701.21+166.11+357.48+227.23</f>
        <v>6421.6</v>
      </c>
      <c r="L21" s="61">
        <f>91809.4+28989.07+11560.93+28320+22672.17+5370.85+11558.38+7346.9</f>
        <v>207627.7</v>
      </c>
      <c r="M21" s="61"/>
      <c r="N21" s="59">
        <f t="shared" si="5"/>
        <v>67985.399999999994</v>
      </c>
      <c r="O21" s="61">
        <f>38999.1-14960-7488.3</f>
        <v>16550.8</v>
      </c>
      <c r="P21" s="61">
        <v>51434.6</v>
      </c>
      <c r="Q21" s="61"/>
      <c r="R21" s="59">
        <f t="shared" si="10"/>
        <v>0</v>
      </c>
      <c r="S21" s="61"/>
      <c r="T21" s="61"/>
      <c r="U21" s="61"/>
      <c r="V21" s="62">
        <f t="shared" si="2"/>
        <v>0.74</v>
      </c>
    </row>
    <row r="22" spans="1:22" ht="33">
      <c r="A22" s="41"/>
      <c r="B22" s="32" t="s">
        <v>21</v>
      </c>
      <c r="C22" s="29">
        <v>809</v>
      </c>
      <c r="D22" s="31" t="s">
        <v>22</v>
      </c>
      <c r="E22" s="29" t="s">
        <v>394</v>
      </c>
      <c r="F22" s="59">
        <f>G22+H22+I22</f>
        <v>1258.9000000000001</v>
      </c>
      <c r="G22" s="61"/>
      <c r="H22" s="61">
        <v>1258.9000000000001</v>
      </c>
      <c r="I22" s="61"/>
      <c r="J22" s="59">
        <f>K22+L22+M22</f>
        <v>1258.9000000000001</v>
      </c>
      <c r="K22" s="61"/>
      <c r="L22" s="61">
        <v>1258.9000000000001</v>
      </c>
      <c r="M22" s="61"/>
      <c r="N22" s="59">
        <f>O22+P22+Q22</f>
        <v>0</v>
      </c>
      <c r="O22" s="61"/>
      <c r="P22" s="61"/>
      <c r="Q22" s="61"/>
      <c r="R22" s="59">
        <f>S22+T22+U22</f>
        <v>0</v>
      </c>
      <c r="S22" s="61"/>
      <c r="T22" s="61"/>
      <c r="U22" s="61"/>
      <c r="V22" s="62">
        <f t="shared" si="2"/>
        <v>1</v>
      </c>
    </row>
    <row r="23" spans="1:22" ht="33">
      <c r="A23" s="44" t="s">
        <v>23</v>
      </c>
      <c r="B23" s="15" t="s">
        <v>24</v>
      </c>
      <c r="C23" s="6" t="s">
        <v>13</v>
      </c>
      <c r="D23" s="6" t="s">
        <v>13</v>
      </c>
      <c r="E23" s="6" t="s">
        <v>13</v>
      </c>
      <c r="F23" s="63">
        <f t="shared" ref="F23:U23" si="11">SUM(F25:F34)</f>
        <v>241010.3</v>
      </c>
      <c r="G23" s="59">
        <f t="shared" si="11"/>
        <v>154853.6</v>
      </c>
      <c r="H23" s="59">
        <f t="shared" si="11"/>
        <v>63690.9</v>
      </c>
      <c r="I23" s="59">
        <f t="shared" si="11"/>
        <v>22465.8</v>
      </c>
      <c r="J23" s="63">
        <f t="shared" si="11"/>
        <v>226420.8</v>
      </c>
      <c r="K23" s="59">
        <f t="shared" si="11"/>
        <v>149096.4</v>
      </c>
      <c r="L23" s="59">
        <f t="shared" si="11"/>
        <v>60086.400000000001</v>
      </c>
      <c r="M23" s="59">
        <f t="shared" si="11"/>
        <v>17238</v>
      </c>
      <c r="N23" s="63">
        <f t="shared" si="11"/>
        <v>386309.4</v>
      </c>
      <c r="O23" s="59">
        <f t="shared" si="11"/>
        <v>135664.4</v>
      </c>
      <c r="P23" s="59">
        <f t="shared" si="11"/>
        <v>230206.1</v>
      </c>
      <c r="Q23" s="59">
        <f t="shared" si="11"/>
        <v>20438.900000000001</v>
      </c>
      <c r="R23" s="63">
        <f t="shared" si="11"/>
        <v>188173.5</v>
      </c>
      <c r="S23" s="59">
        <f t="shared" si="11"/>
        <v>96104.7</v>
      </c>
      <c r="T23" s="59">
        <f t="shared" si="11"/>
        <v>82929.5</v>
      </c>
      <c r="U23" s="59">
        <f t="shared" si="11"/>
        <v>9139.2999999999993</v>
      </c>
      <c r="V23" s="60">
        <f t="shared" si="2"/>
        <v>0.93899999999999995</v>
      </c>
    </row>
    <row r="24" spans="1:22" ht="18.75">
      <c r="A24" s="47"/>
      <c r="B24" s="28" t="s">
        <v>16</v>
      </c>
      <c r="C24" s="29"/>
      <c r="D24" s="29"/>
      <c r="E24" s="2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60"/>
    </row>
    <row r="25" spans="1:22" ht="59.25" customHeight="1">
      <c r="A25" s="47"/>
      <c r="B25" s="32" t="s">
        <v>25</v>
      </c>
      <c r="C25" s="29">
        <v>813</v>
      </c>
      <c r="D25" s="31" t="s">
        <v>26</v>
      </c>
      <c r="E25" s="29" t="s">
        <v>238</v>
      </c>
      <c r="F25" s="59">
        <f t="shared" ref="F25:F34" si="12">G25+H25+I25</f>
        <v>37068.300000000003</v>
      </c>
      <c r="G25" s="61">
        <f>321.1+773.2</f>
        <v>1094.3</v>
      </c>
      <c r="H25" s="61">
        <f>10381.9+25000</f>
        <v>35381.9</v>
      </c>
      <c r="I25" s="61">
        <v>592.1</v>
      </c>
      <c r="J25" s="59">
        <f t="shared" ref="J25:J34" si="13">K25+L25+M25</f>
        <v>33241.599999999999</v>
      </c>
      <c r="K25" s="61">
        <f>63.8+75.45+80.28+755.79+7.56</f>
        <v>982.9</v>
      </c>
      <c r="L25" s="61">
        <f>2061.1+2439.46+2595.52+24436.79+244.5</f>
        <v>31777.4</v>
      </c>
      <c r="M25" s="61">
        <v>481.3</v>
      </c>
      <c r="N25" s="59">
        <f t="shared" ref="N25:N34" si="14">O25+P25+Q25</f>
        <v>6889.4</v>
      </c>
      <c r="O25" s="61">
        <v>206.7</v>
      </c>
      <c r="P25" s="61">
        <v>6682.7</v>
      </c>
      <c r="Q25" s="61">
        <v>0</v>
      </c>
      <c r="R25" s="59">
        <f t="shared" ref="R25:R34" si="15">S25+T25+U25</f>
        <v>6889.4</v>
      </c>
      <c r="S25" s="61">
        <v>206.7</v>
      </c>
      <c r="T25" s="61">
        <v>6682.7</v>
      </c>
      <c r="U25" s="61"/>
      <c r="V25" s="62">
        <f t="shared" si="2"/>
        <v>0.89700000000000002</v>
      </c>
    </row>
    <row r="26" spans="1:22" ht="39" customHeight="1">
      <c r="A26" s="47"/>
      <c r="B26" s="32" t="s">
        <v>167</v>
      </c>
      <c r="C26" s="29">
        <v>821</v>
      </c>
      <c r="D26" s="31" t="s">
        <v>20</v>
      </c>
      <c r="E26" s="29" t="s">
        <v>361</v>
      </c>
      <c r="F26" s="59">
        <f t="shared" si="12"/>
        <v>40655</v>
      </c>
      <c r="G26" s="61">
        <f>100000-65000</f>
        <v>35000</v>
      </c>
      <c r="H26" s="61"/>
      <c r="I26" s="61">
        <v>5655</v>
      </c>
      <c r="J26" s="59">
        <f t="shared" si="13"/>
        <v>37322.199999999997</v>
      </c>
      <c r="K26" s="61">
        <f>15000+20000</f>
        <v>35000</v>
      </c>
      <c r="L26" s="61"/>
      <c r="M26" s="61">
        <v>2322.1999999999998</v>
      </c>
      <c r="N26" s="59">
        <f t="shared" si="14"/>
        <v>45000</v>
      </c>
      <c r="O26" s="61">
        <v>35000</v>
      </c>
      <c r="P26" s="61"/>
      <c r="Q26" s="61">
        <v>10000</v>
      </c>
      <c r="R26" s="59">
        <f t="shared" si="15"/>
        <v>0</v>
      </c>
      <c r="S26" s="61"/>
      <c r="T26" s="61"/>
      <c r="U26" s="61"/>
      <c r="V26" s="62">
        <f t="shared" si="2"/>
        <v>0.91800000000000004</v>
      </c>
    </row>
    <row r="27" spans="1:22" ht="74.25" customHeight="1">
      <c r="A27" s="47"/>
      <c r="B27" s="32" t="s">
        <v>324</v>
      </c>
      <c r="C27" s="29">
        <v>813</v>
      </c>
      <c r="D27" s="31" t="s">
        <v>26</v>
      </c>
      <c r="E27" s="29" t="s">
        <v>323</v>
      </c>
      <c r="F27" s="59">
        <f t="shared" si="12"/>
        <v>31579</v>
      </c>
      <c r="G27" s="61">
        <v>30000</v>
      </c>
      <c r="H27" s="61"/>
      <c r="I27" s="61">
        <v>1579</v>
      </c>
      <c r="J27" s="59">
        <f t="shared" si="13"/>
        <v>31579</v>
      </c>
      <c r="K27" s="61">
        <f>404.6+10593.6+1159.2+17842.6</f>
        <v>30000</v>
      </c>
      <c r="L27" s="61"/>
      <c r="M27" s="61">
        <v>1579</v>
      </c>
      <c r="N27" s="59">
        <f t="shared" si="14"/>
        <v>10505.9</v>
      </c>
      <c r="O27" s="61">
        <v>10000</v>
      </c>
      <c r="P27" s="61"/>
      <c r="Q27" s="61">
        <v>505.9</v>
      </c>
      <c r="R27" s="59">
        <f t="shared" si="15"/>
        <v>10498.8</v>
      </c>
      <c r="S27" s="61">
        <v>10000</v>
      </c>
      <c r="T27" s="61"/>
      <c r="U27" s="61">
        <v>498.8</v>
      </c>
      <c r="V27" s="62">
        <f t="shared" si="2"/>
        <v>1</v>
      </c>
    </row>
    <row r="28" spans="1:22" ht="49.5">
      <c r="A28" s="47"/>
      <c r="B28" s="32" t="s">
        <v>330</v>
      </c>
      <c r="C28" s="29">
        <v>813</v>
      </c>
      <c r="D28" s="31" t="s">
        <v>26</v>
      </c>
      <c r="E28" s="29" t="s">
        <v>329</v>
      </c>
      <c r="F28" s="59">
        <f t="shared" si="12"/>
        <v>0</v>
      </c>
      <c r="G28" s="61">
        <f>30000-30000</f>
        <v>0</v>
      </c>
      <c r="H28" s="61"/>
      <c r="I28" s="61"/>
      <c r="J28" s="59">
        <f t="shared" si="13"/>
        <v>0</v>
      </c>
      <c r="K28" s="61"/>
      <c r="L28" s="61"/>
      <c r="M28" s="61"/>
      <c r="N28" s="59">
        <f t="shared" si="14"/>
        <v>0</v>
      </c>
      <c r="O28" s="61"/>
      <c r="P28" s="61"/>
      <c r="Q28" s="61"/>
      <c r="R28" s="59">
        <f t="shared" si="15"/>
        <v>0</v>
      </c>
      <c r="S28" s="61"/>
      <c r="T28" s="61"/>
      <c r="U28" s="61"/>
      <c r="V28" s="62"/>
    </row>
    <row r="29" spans="1:22" ht="147.75" customHeight="1">
      <c r="A29" s="47"/>
      <c r="B29" s="32" t="s">
        <v>27</v>
      </c>
      <c r="C29" s="29">
        <v>813</v>
      </c>
      <c r="D29" s="31" t="s">
        <v>26</v>
      </c>
      <c r="E29" s="29" t="s">
        <v>328</v>
      </c>
      <c r="F29" s="59">
        <f t="shared" si="12"/>
        <v>9975.2999999999993</v>
      </c>
      <c r="G29" s="61">
        <v>9000</v>
      </c>
      <c r="H29" s="61"/>
      <c r="I29" s="61">
        <v>975.3</v>
      </c>
      <c r="J29" s="59">
        <f t="shared" si="13"/>
        <v>9970.5</v>
      </c>
      <c r="K29" s="61">
        <f>600+1800+900+300+3207.4+900+600+92.6+600</f>
        <v>9000</v>
      </c>
      <c r="L29" s="61"/>
      <c r="M29" s="61">
        <v>970.5</v>
      </c>
      <c r="N29" s="59">
        <f t="shared" si="14"/>
        <v>9363.7000000000007</v>
      </c>
      <c r="O29" s="61">
        <v>9000</v>
      </c>
      <c r="P29" s="61"/>
      <c r="Q29" s="61">
        <v>363.7</v>
      </c>
      <c r="R29" s="59">
        <f t="shared" si="15"/>
        <v>9268.7000000000007</v>
      </c>
      <c r="S29" s="61">
        <v>9000</v>
      </c>
      <c r="T29" s="61"/>
      <c r="U29" s="61">
        <v>268.7</v>
      </c>
      <c r="V29" s="62">
        <f t="shared" si="2"/>
        <v>1</v>
      </c>
    </row>
    <row r="30" spans="1:22" ht="49.5">
      <c r="A30" s="47"/>
      <c r="B30" s="32" t="s">
        <v>28</v>
      </c>
      <c r="C30" s="29">
        <v>813</v>
      </c>
      <c r="D30" s="31" t="s">
        <v>26</v>
      </c>
      <c r="E30" s="29" t="s">
        <v>325</v>
      </c>
      <c r="F30" s="59">
        <f t="shared" si="12"/>
        <v>83298.899999999994</v>
      </c>
      <c r="G30" s="61">
        <v>71646.899999999994</v>
      </c>
      <c r="H30" s="61"/>
      <c r="I30" s="61">
        <v>11652</v>
      </c>
      <c r="J30" s="59">
        <f t="shared" si="13"/>
        <v>75988.7</v>
      </c>
      <c r="K30" s="61">
        <f>14605.3+1982.9+10482.8+145+5554+5554+5554+5554+5554+5554.3+5553.6</f>
        <v>66093.899999999994</v>
      </c>
      <c r="L30" s="61"/>
      <c r="M30" s="61">
        <v>9894.7999999999993</v>
      </c>
      <c r="N30" s="59">
        <f t="shared" si="14"/>
        <v>81057.7</v>
      </c>
      <c r="O30" s="61">
        <v>71646.899999999994</v>
      </c>
      <c r="P30" s="61"/>
      <c r="Q30" s="61">
        <v>9410.7999999999993</v>
      </c>
      <c r="R30" s="59">
        <f t="shared" si="15"/>
        <v>79864</v>
      </c>
      <c r="S30" s="61">
        <v>71646.899999999994</v>
      </c>
      <c r="T30" s="61"/>
      <c r="U30" s="61">
        <v>8217.1</v>
      </c>
      <c r="V30" s="62">
        <f t="shared" si="2"/>
        <v>0.91200000000000003</v>
      </c>
    </row>
    <row r="31" spans="1:22" ht="49.5">
      <c r="A31" s="47"/>
      <c r="B31" s="32" t="s">
        <v>327</v>
      </c>
      <c r="C31" s="29">
        <v>813</v>
      </c>
      <c r="D31" s="31" t="s">
        <v>26</v>
      </c>
      <c r="E31" s="29" t="s">
        <v>326</v>
      </c>
      <c r="F31" s="59">
        <f t="shared" si="12"/>
        <v>0</v>
      </c>
      <c r="G31" s="61">
        <f>38000-38000</f>
        <v>0</v>
      </c>
      <c r="H31" s="61"/>
      <c r="I31" s="61"/>
      <c r="J31" s="59">
        <f t="shared" si="13"/>
        <v>0</v>
      </c>
      <c r="K31" s="61"/>
      <c r="L31" s="61"/>
      <c r="M31" s="61"/>
      <c r="N31" s="59">
        <f t="shared" si="14"/>
        <v>0</v>
      </c>
      <c r="O31" s="61"/>
      <c r="P31" s="61"/>
      <c r="Q31" s="61"/>
      <c r="R31" s="59">
        <f t="shared" si="15"/>
        <v>0</v>
      </c>
      <c r="S31" s="61"/>
      <c r="T31" s="61"/>
      <c r="U31" s="61"/>
      <c r="V31" s="62"/>
    </row>
    <row r="32" spans="1:22" ht="87.75" customHeight="1">
      <c r="A32" s="47"/>
      <c r="B32" s="32" t="s">
        <v>234</v>
      </c>
      <c r="C32" s="29">
        <v>813</v>
      </c>
      <c r="D32" s="31" t="s">
        <v>26</v>
      </c>
      <c r="E32" s="29" t="s">
        <v>235</v>
      </c>
      <c r="F32" s="59">
        <f t="shared" si="12"/>
        <v>6487.2</v>
      </c>
      <c r="G32" s="61">
        <v>3000</v>
      </c>
      <c r="H32" s="61">
        <v>3309</v>
      </c>
      <c r="I32" s="61">
        <v>178.2</v>
      </c>
      <c r="J32" s="59">
        <f t="shared" si="13"/>
        <v>6487.2</v>
      </c>
      <c r="K32" s="61">
        <f>199.4+628.41+403.53+107.26+51.17+14.27+94.79+0.35+935.14+268.35+297.32</f>
        <v>3000</v>
      </c>
      <c r="L32" s="61">
        <f>1476.47+56.44+15.73+104.55+0.38+1031.46+295.99+327.94</f>
        <v>3309</v>
      </c>
      <c r="M32" s="61">
        <v>178.2</v>
      </c>
      <c r="N32" s="59">
        <f t="shared" si="14"/>
        <v>6467.5</v>
      </c>
      <c r="O32" s="61">
        <v>3000</v>
      </c>
      <c r="P32" s="61">
        <v>3309</v>
      </c>
      <c r="Q32" s="61">
        <v>158.5</v>
      </c>
      <c r="R32" s="59">
        <f t="shared" si="15"/>
        <v>6615.9</v>
      </c>
      <c r="S32" s="61">
        <v>3000</v>
      </c>
      <c r="T32" s="61">
        <v>3461.2</v>
      </c>
      <c r="U32" s="61">
        <v>154.69999999999999</v>
      </c>
      <c r="V32" s="62">
        <f t="shared" si="2"/>
        <v>1</v>
      </c>
    </row>
    <row r="33" spans="1:22" ht="75" customHeight="1">
      <c r="A33" s="47"/>
      <c r="B33" s="32" t="s">
        <v>236</v>
      </c>
      <c r="C33" s="29">
        <v>821</v>
      </c>
      <c r="D33" s="31" t="s">
        <v>20</v>
      </c>
      <c r="E33" s="29" t="s">
        <v>237</v>
      </c>
      <c r="F33" s="59">
        <f t="shared" si="12"/>
        <v>5376.3</v>
      </c>
      <c r="G33" s="61">
        <v>4339.2</v>
      </c>
      <c r="H33" s="61"/>
      <c r="I33" s="61">
        <v>1037.0999999999999</v>
      </c>
      <c r="J33" s="59">
        <f t="shared" si="13"/>
        <v>5261.3</v>
      </c>
      <c r="K33" s="61">
        <v>4246.3999999999996</v>
      </c>
      <c r="L33" s="61"/>
      <c r="M33" s="61">
        <v>1014.9</v>
      </c>
      <c r="N33" s="59">
        <f t="shared" si="14"/>
        <v>182695.3</v>
      </c>
      <c r="O33" s="61">
        <v>5480.9</v>
      </c>
      <c r="P33" s="61">
        <v>177214.4</v>
      </c>
      <c r="Q33" s="61"/>
      <c r="R33" s="59">
        <f t="shared" si="15"/>
        <v>75036.7</v>
      </c>
      <c r="S33" s="61">
        <v>2251.1</v>
      </c>
      <c r="T33" s="61">
        <v>72785.600000000006</v>
      </c>
      <c r="U33" s="61"/>
      <c r="V33" s="62">
        <f t="shared" si="2"/>
        <v>0.97899999999999998</v>
      </c>
    </row>
    <row r="34" spans="1:22" ht="56.25" customHeight="1">
      <c r="A34" s="47"/>
      <c r="B34" s="32" t="s">
        <v>239</v>
      </c>
      <c r="C34" s="29">
        <v>813</v>
      </c>
      <c r="D34" s="31" t="s">
        <v>26</v>
      </c>
      <c r="E34" s="29" t="s">
        <v>240</v>
      </c>
      <c r="F34" s="59">
        <f t="shared" si="12"/>
        <v>26570.3</v>
      </c>
      <c r="G34" s="61">
        <v>773.2</v>
      </c>
      <c r="H34" s="61">
        <v>25000</v>
      </c>
      <c r="I34" s="61">
        <v>797.1</v>
      </c>
      <c r="J34" s="59">
        <f t="shared" si="13"/>
        <v>26570.3</v>
      </c>
      <c r="K34" s="61">
        <v>773.2</v>
      </c>
      <c r="L34" s="61">
        <v>25000</v>
      </c>
      <c r="M34" s="61">
        <v>797.1</v>
      </c>
      <c r="N34" s="59">
        <f t="shared" si="14"/>
        <v>44329.9</v>
      </c>
      <c r="O34" s="61">
        <v>1329.9</v>
      </c>
      <c r="P34" s="61">
        <v>43000</v>
      </c>
      <c r="Q34" s="61"/>
      <c r="R34" s="59">
        <f t="shared" si="15"/>
        <v>0</v>
      </c>
      <c r="S34" s="61"/>
      <c r="T34" s="61"/>
      <c r="U34" s="61"/>
      <c r="V34" s="62">
        <f t="shared" si="2"/>
        <v>1</v>
      </c>
    </row>
    <row r="35" spans="1:22" ht="66">
      <c r="A35" s="44" t="s">
        <v>29</v>
      </c>
      <c r="B35" s="15" t="s">
        <v>30</v>
      </c>
      <c r="C35" s="6" t="s">
        <v>13</v>
      </c>
      <c r="D35" s="6" t="s">
        <v>13</v>
      </c>
      <c r="E35" s="6" t="s">
        <v>13</v>
      </c>
      <c r="F35" s="63">
        <f t="shared" ref="F35:U35" si="16">SUM(F37:F45)</f>
        <v>1084819.6000000001</v>
      </c>
      <c r="G35" s="59">
        <f t="shared" si="16"/>
        <v>401145.1</v>
      </c>
      <c r="H35" s="59">
        <f t="shared" si="16"/>
        <v>644279.1</v>
      </c>
      <c r="I35" s="59">
        <f t="shared" si="16"/>
        <v>39395.4</v>
      </c>
      <c r="J35" s="63">
        <f t="shared" si="16"/>
        <v>350895.8</v>
      </c>
      <c r="K35" s="59">
        <f t="shared" si="16"/>
        <v>161983.29999999999</v>
      </c>
      <c r="L35" s="59">
        <f t="shared" si="16"/>
        <v>183040.8</v>
      </c>
      <c r="M35" s="59">
        <f t="shared" si="16"/>
        <v>5871.7</v>
      </c>
      <c r="N35" s="63">
        <f t="shared" si="16"/>
        <v>1247859.3999999999</v>
      </c>
      <c r="O35" s="59">
        <f t="shared" si="16"/>
        <v>357091.8</v>
      </c>
      <c r="P35" s="59">
        <f t="shared" si="16"/>
        <v>890767.6</v>
      </c>
      <c r="Q35" s="59">
        <f t="shared" si="16"/>
        <v>0</v>
      </c>
      <c r="R35" s="63">
        <f t="shared" si="16"/>
        <v>23861.3</v>
      </c>
      <c r="S35" s="59">
        <f t="shared" si="16"/>
        <v>715.8</v>
      </c>
      <c r="T35" s="59">
        <f t="shared" si="16"/>
        <v>23145.5</v>
      </c>
      <c r="U35" s="59">
        <f t="shared" si="16"/>
        <v>0</v>
      </c>
      <c r="V35" s="60">
        <f t="shared" si="2"/>
        <v>0.32300000000000001</v>
      </c>
    </row>
    <row r="36" spans="1:22" ht="18.75">
      <c r="A36" s="41"/>
      <c r="B36" s="28" t="s">
        <v>16</v>
      </c>
      <c r="C36" s="29"/>
      <c r="D36" s="29"/>
      <c r="E36" s="2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60"/>
    </row>
    <row r="37" spans="1:22" ht="49.5">
      <c r="A37" s="41"/>
      <c r="B37" s="32" t="s">
        <v>445</v>
      </c>
      <c r="C37" s="29">
        <v>815</v>
      </c>
      <c r="D37" s="31" t="s">
        <v>66</v>
      </c>
      <c r="E37" s="29" t="s">
        <v>446</v>
      </c>
      <c r="F37" s="59">
        <f t="shared" ref="F37:F45" si="17">G37+H37+I37</f>
        <v>35387.300000000003</v>
      </c>
      <c r="G37" s="61">
        <f>22523.4+8541.48</f>
        <v>31064.9</v>
      </c>
      <c r="H37" s="61"/>
      <c r="I37" s="61">
        <v>4322.3999999999996</v>
      </c>
      <c r="J37" s="59">
        <f t="shared" ref="J37:J45" si="18">K37+L37+M37</f>
        <v>0</v>
      </c>
      <c r="K37" s="61"/>
      <c r="L37" s="61"/>
      <c r="M37" s="61"/>
      <c r="N37" s="59">
        <f t="shared" ref="N37:N45" si="19">O37+P37+Q37</f>
        <v>0</v>
      </c>
      <c r="O37" s="61"/>
      <c r="P37" s="61"/>
      <c r="Q37" s="61"/>
      <c r="R37" s="59">
        <f t="shared" ref="R37:R45" si="20">S37+T37+U37</f>
        <v>0</v>
      </c>
      <c r="S37" s="61"/>
      <c r="T37" s="61"/>
      <c r="U37" s="61"/>
      <c r="V37" s="62">
        <f t="shared" si="2"/>
        <v>0</v>
      </c>
    </row>
    <row r="38" spans="1:22" ht="49.5">
      <c r="A38" s="41"/>
      <c r="B38" s="32" t="s">
        <v>448</v>
      </c>
      <c r="C38" s="29">
        <v>815</v>
      </c>
      <c r="D38" s="31" t="s">
        <v>66</v>
      </c>
      <c r="E38" s="29" t="s">
        <v>447</v>
      </c>
      <c r="F38" s="59">
        <f t="shared" si="17"/>
        <v>20955.5</v>
      </c>
      <c r="G38" s="61">
        <f>4476.6+16470.3</f>
        <v>20946.900000000001</v>
      </c>
      <c r="H38" s="61"/>
      <c r="I38" s="61">
        <v>8.6</v>
      </c>
      <c r="J38" s="59">
        <f t="shared" si="18"/>
        <v>0</v>
      </c>
      <c r="K38" s="61"/>
      <c r="L38" s="61"/>
      <c r="M38" s="61"/>
      <c r="N38" s="59">
        <f t="shared" si="19"/>
        <v>0</v>
      </c>
      <c r="O38" s="61"/>
      <c r="P38" s="61"/>
      <c r="Q38" s="61"/>
      <c r="R38" s="59">
        <f t="shared" si="20"/>
        <v>0</v>
      </c>
      <c r="S38" s="61"/>
      <c r="T38" s="61"/>
      <c r="U38" s="61"/>
      <c r="V38" s="62">
        <f t="shared" si="2"/>
        <v>0</v>
      </c>
    </row>
    <row r="39" spans="1:22" ht="194.25" customHeight="1">
      <c r="A39" s="41"/>
      <c r="B39" s="32" t="s">
        <v>256</v>
      </c>
      <c r="C39" s="29">
        <v>815</v>
      </c>
      <c r="D39" s="31" t="s">
        <v>66</v>
      </c>
      <c r="E39" s="29" t="s">
        <v>257</v>
      </c>
      <c r="F39" s="59">
        <f t="shared" si="17"/>
        <v>182952.6</v>
      </c>
      <c r="G39" s="61">
        <v>5591.4</v>
      </c>
      <c r="H39" s="61">
        <v>177361.2</v>
      </c>
      <c r="I39" s="61"/>
      <c r="J39" s="59">
        <f t="shared" si="18"/>
        <v>6769.8</v>
      </c>
      <c r="K39" s="61">
        <f>4.7+101.3+53.12+140.65+6.15</f>
        <v>305.89999999999998</v>
      </c>
      <c r="L39" s="61">
        <f>1717.4+4547.72+198.79</f>
        <v>6463.9</v>
      </c>
      <c r="M39" s="61"/>
      <c r="N39" s="59">
        <f t="shared" si="19"/>
        <v>0</v>
      </c>
      <c r="O39" s="61"/>
      <c r="P39" s="61"/>
      <c r="Q39" s="61"/>
      <c r="R39" s="59">
        <f t="shared" si="20"/>
        <v>0</v>
      </c>
      <c r="S39" s="61"/>
      <c r="T39" s="61"/>
      <c r="U39" s="61"/>
      <c r="V39" s="62">
        <f t="shared" si="2"/>
        <v>3.6999999999999998E-2</v>
      </c>
    </row>
    <row r="40" spans="1:22" ht="81.75" customHeight="1">
      <c r="A40" s="41"/>
      <c r="B40" s="32" t="s">
        <v>365</v>
      </c>
      <c r="C40" s="29" t="s">
        <v>406</v>
      </c>
      <c r="D40" s="31" t="s">
        <v>20</v>
      </c>
      <c r="E40" s="29" t="s">
        <v>407</v>
      </c>
      <c r="F40" s="59">
        <f t="shared" si="17"/>
        <v>64967.7</v>
      </c>
      <c r="G40" s="61">
        <f>42112.6-11266.53</f>
        <v>30846.1</v>
      </c>
      <c r="H40" s="61"/>
      <c r="I40" s="61">
        <v>34121.599999999999</v>
      </c>
      <c r="J40" s="59">
        <f t="shared" si="18"/>
        <v>13795.1</v>
      </c>
      <c r="K40" s="61">
        <v>8059.7</v>
      </c>
      <c r="L40" s="61"/>
      <c r="M40" s="61">
        <v>5735.4</v>
      </c>
      <c r="N40" s="59">
        <f t="shared" si="19"/>
        <v>0</v>
      </c>
      <c r="O40" s="61"/>
      <c r="P40" s="61"/>
      <c r="Q40" s="61"/>
      <c r="R40" s="59">
        <f t="shared" si="20"/>
        <v>0</v>
      </c>
      <c r="S40" s="61"/>
      <c r="T40" s="61"/>
      <c r="U40" s="61"/>
      <c r="V40" s="62">
        <f t="shared" si="2"/>
        <v>0.21199999999999999</v>
      </c>
    </row>
    <row r="41" spans="1:22" ht="89.25" customHeight="1">
      <c r="A41" s="41"/>
      <c r="B41" s="32" t="s">
        <v>31</v>
      </c>
      <c r="C41" s="29">
        <v>821</v>
      </c>
      <c r="D41" s="31" t="s">
        <v>20</v>
      </c>
      <c r="E41" s="29" t="s">
        <v>255</v>
      </c>
      <c r="F41" s="59">
        <f t="shared" si="17"/>
        <v>776313</v>
      </c>
      <c r="G41" s="61">
        <v>312568.5</v>
      </c>
      <c r="H41" s="61">
        <f>274034.6+188767.1</f>
        <v>462801.7</v>
      </c>
      <c r="I41" s="61">
        <v>942.8</v>
      </c>
      <c r="J41" s="59">
        <f t="shared" si="18"/>
        <v>327283.20000000001</v>
      </c>
      <c r="K41" s="61">
        <f>128986.43+1426.46+2088.25+21025.17</f>
        <v>153526.29999999999</v>
      </c>
      <c r="L41" s="61">
        <v>173620.6</v>
      </c>
      <c r="M41" s="61">
        <v>136.30000000000001</v>
      </c>
      <c r="N41" s="59">
        <f t="shared" si="19"/>
        <v>1229501.3</v>
      </c>
      <c r="O41" s="61">
        <v>356541</v>
      </c>
      <c r="P41" s="61">
        <v>872960.3</v>
      </c>
      <c r="Q41" s="61"/>
      <c r="R41" s="59">
        <f t="shared" si="20"/>
        <v>0</v>
      </c>
      <c r="S41" s="61"/>
      <c r="T41" s="61"/>
      <c r="U41" s="61"/>
      <c r="V41" s="62">
        <f t="shared" si="2"/>
        <v>0.42199999999999999</v>
      </c>
    </row>
    <row r="42" spans="1:22" ht="111.75" customHeight="1">
      <c r="A42" s="41"/>
      <c r="B42" s="32" t="s">
        <v>203</v>
      </c>
      <c r="C42" s="29">
        <v>839</v>
      </c>
      <c r="D42" s="31" t="s">
        <v>17</v>
      </c>
      <c r="E42" s="29" t="s">
        <v>202</v>
      </c>
      <c r="F42" s="59">
        <f t="shared" si="17"/>
        <v>4218</v>
      </c>
      <c r="G42" s="61">
        <f>362-235.14-0.32</f>
        <v>126.5</v>
      </c>
      <c r="H42" s="61">
        <f>2801.4+8903.14-7602.89-10.19</f>
        <v>4091.5</v>
      </c>
      <c r="I42" s="61"/>
      <c r="J42" s="59">
        <f t="shared" si="18"/>
        <v>3037.2</v>
      </c>
      <c r="K42" s="61">
        <f>33.3+7.4+1.65+14.49+10.22+0.99+2.18+1.39+3.32+0.05+0.72+2.79+12.12+0.49</f>
        <v>91.1</v>
      </c>
      <c r="L42" s="61">
        <f>1078.1+238+53.33+468.57+330.29+32.01+70.59+44.91+107.26+1.69+23.28+90.27+391.94+15.81</f>
        <v>2946.1</v>
      </c>
      <c r="M42" s="61"/>
      <c r="N42" s="59">
        <f t="shared" si="19"/>
        <v>2888</v>
      </c>
      <c r="O42" s="61">
        <v>86.6</v>
      </c>
      <c r="P42" s="61">
        <v>2801.4</v>
      </c>
      <c r="Q42" s="61"/>
      <c r="R42" s="59">
        <f t="shared" si="20"/>
        <v>7511.5</v>
      </c>
      <c r="S42" s="61">
        <v>225.4</v>
      </c>
      <c r="T42" s="61">
        <v>7286.1</v>
      </c>
      <c r="U42" s="61"/>
      <c r="V42" s="62">
        <f t="shared" si="2"/>
        <v>0.72</v>
      </c>
    </row>
    <row r="43" spans="1:22" ht="74.25" customHeight="1">
      <c r="A43" s="41"/>
      <c r="B43" s="32" t="s">
        <v>365</v>
      </c>
      <c r="C43" s="29">
        <v>821</v>
      </c>
      <c r="D43" s="31" t="s">
        <v>20</v>
      </c>
      <c r="E43" s="29" t="s">
        <v>366</v>
      </c>
      <c r="F43" s="59">
        <f t="shared" si="17"/>
        <v>0</v>
      </c>
      <c r="G43" s="61">
        <f>42112.6-42112.6</f>
        <v>0</v>
      </c>
      <c r="H43" s="61"/>
      <c r="I43" s="61"/>
      <c r="J43" s="59">
        <f t="shared" si="18"/>
        <v>0</v>
      </c>
      <c r="K43" s="61"/>
      <c r="L43" s="61"/>
      <c r="M43" s="61"/>
      <c r="N43" s="59">
        <f t="shared" si="19"/>
        <v>0</v>
      </c>
      <c r="O43" s="61"/>
      <c r="P43" s="61"/>
      <c r="Q43" s="61"/>
      <c r="R43" s="59">
        <f t="shared" si="20"/>
        <v>0</v>
      </c>
      <c r="S43" s="61"/>
      <c r="T43" s="61"/>
      <c r="U43" s="61"/>
      <c r="V43" s="62"/>
    </row>
    <row r="44" spans="1:22" ht="88.5" customHeight="1">
      <c r="A44" s="41"/>
      <c r="B44" s="32" t="s">
        <v>205</v>
      </c>
      <c r="C44" s="29">
        <v>839</v>
      </c>
      <c r="D44" s="31" t="s">
        <v>17</v>
      </c>
      <c r="E44" s="29" t="s">
        <v>204</v>
      </c>
      <c r="F44" s="59">
        <f t="shared" si="17"/>
        <v>25.5</v>
      </c>
      <c r="G44" s="61">
        <v>0.8</v>
      </c>
      <c r="H44" s="61">
        <f>2694.7-633.93-2046.22+10.19</f>
        <v>24.7</v>
      </c>
      <c r="I44" s="61"/>
      <c r="J44" s="59">
        <f t="shared" si="18"/>
        <v>10.5</v>
      </c>
      <c r="K44" s="61">
        <v>0.3</v>
      </c>
      <c r="L44" s="61">
        <v>10.199999999999999</v>
      </c>
      <c r="M44" s="61"/>
      <c r="N44" s="59">
        <f t="shared" si="19"/>
        <v>2778.1</v>
      </c>
      <c r="O44" s="61">
        <v>83.4</v>
      </c>
      <c r="P44" s="61">
        <v>2694.7</v>
      </c>
      <c r="Q44" s="61"/>
      <c r="R44" s="59">
        <f t="shared" si="20"/>
        <v>3652.2</v>
      </c>
      <c r="S44" s="61">
        <v>109.5</v>
      </c>
      <c r="T44" s="61">
        <v>3542.7</v>
      </c>
      <c r="U44" s="61"/>
      <c r="V44" s="62">
        <f t="shared" si="2"/>
        <v>0.41199999999999998</v>
      </c>
    </row>
    <row r="45" spans="1:22" ht="150" customHeight="1">
      <c r="A45" s="41"/>
      <c r="B45" s="32" t="s">
        <v>207</v>
      </c>
      <c r="C45" s="29">
        <v>839</v>
      </c>
      <c r="D45" s="31" t="s">
        <v>17</v>
      </c>
      <c r="E45" s="29" t="s">
        <v>206</v>
      </c>
      <c r="F45" s="59">
        <f t="shared" si="17"/>
        <v>0</v>
      </c>
      <c r="G45" s="61">
        <f>380.8-255.79-125.01</f>
        <v>0</v>
      </c>
      <c r="H45" s="61">
        <f>12311.2-8269.21-4041.99</f>
        <v>0</v>
      </c>
      <c r="I45" s="61"/>
      <c r="J45" s="59">
        <f t="shared" si="18"/>
        <v>0</v>
      </c>
      <c r="K45" s="61"/>
      <c r="L45" s="61"/>
      <c r="M45" s="61"/>
      <c r="N45" s="59">
        <f t="shared" si="19"/>
        <v>12692</v>
      </c>
      <c r="O45" s="61">
        <v>380.8</v>
      </c>
      <c r="P45" s="61">
        <v>12311.2</v>
      </c>
      <c r="Q45" s="61"/>
      <c r="R45" s="59">
        <f t="shared" si="20"/>
        <v>12697.6</v>
      </c>
      <c r="S45" s="61">
        <v>380.9</v>
      </c>
      <c r="T45" s="61">
        <v>12316.7</v>
      </c>
      <c r="U45" s="61"/>
      <c r="V45" s="62"/>
    </row>
    <row r="46" spans="1:22" ht="33">
      <c r="A46" s="44" t="s">
        <v>32</v>
      </c>
      <c r="B46" s="15" t="s">
        <v>33</v>
      </c>
      <c r="C46" s="6" t="s">
        <v>13</v>
      </c>
      <c r="D46" s="6" t="s">
        <v>13</v>
      </c>
      <c r="E46" s="6" t="s">
        <v>13</v>
      </c>
      <c r="F46" s="63">
        <f t="shared" ref="F46:U46" si="21">SUM(F48:F50)</f>
        <v>1644112.5</v>
      </c>
      <c r="G46" s="59">
        <f t="shared" si="21"/>
        <v>659166.80000000005</v>
      </c>
      <c r="H46" s="59">
        <f t="shared" si="21"/>
        <v>984945.7</v>
      </c>
      <c r="I46" s="59">
        <f t="shared" si="21"/>
        <v>0</v>
      </c>
      <c r="J46" s="63">
        <f t="shared" si="21"/>
        <v>1487012.6</v>
      </c>
      <c r="K46" s="59">
        <f t="shared" si="21"/>
        <v>603291.4</v>
      </c>
      <c r="L46" s="59">
        <f t="shared" si="21"/>
        <v>883721.2</v>
      </c>
      <c r="M46" s="59">
        <f t="shared" si="21"/>
        <v>0</v>
      </c>
      <c r="N46" s="63">
        <f t="shared" si="21"/>
        <v>2093316.4</v>
      </c>
      <c r="O46" s="59">
        <f t="shared" si="21"/>
        <v>776166.8</v>
      </c>
      <c r="P46" s="59">
        <f t="shared" si="21"/>
        <v>1317149.6000000001</v>
      </c>
      <c r="Q46" s="59">
        <f t="shared" si="21"/>
        <v>0</v>
      </c>
      <c r="R46" s="63">
        <f t="shared" si="21"/>
        <v>2380203.6</v>
      </c>
      <c r="S46" s="59">
        <f t="shared" si="21"/>
        <v>776166.8</v>
      </c>
      <c r="T46" s="59">
        <f t="shared" si="21"/>
        <v>1604036.8</v>
      </c>
      <c r="U46" s="59">
        <f t="shared" si="21"/>
        <v>0</v>
      </c>
      <c r="V46" s="60">
        <f t="shared" si="2"/>
        <v>0.90400000000000003</v>
      </c>
    </row>
    <row r="47" spans="1:22" ht="18.75">
      <c r="A47" s="41"/>
      <c r="B47" s="28" t="s">
        <v>16</v>
      </c>
      <c r="C47" s="29"/>
      <c r="D47" s="31"/>
      <c r="E47" s="2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60"/>
    </row>
    <row r="48" spans="1:22" ht="33">
      <c r="A48" s="41"/>
      <c r="B48" s="32" t="s">
        <v>34</v>
      </c>
      <c r="C48" s="29">
        <v>809</v>
      </c>
      <c r="D48" s="31" t="s">
        <v>22</v>
      </c>
      <c r="E48" s="29" t="s">
        <v>267</v>
      </c>
      <c r="F48" s="59">
        <f>G48+H48+I48</f>
        <v>909750.3</v>
      </c>
      <c r="G48" s="61"/>
      <c r="H48" s="61">
        <v>909750.3</v>
      </c>
      <c r="I48" s="61"/>
      <c r="J48" s="59">
        <f>K48+L48+M48</f>
        <v>820304.4</v>
      </c>
      <c r="K48" s="61"/>
      <c r="L48" s="61">
        <f>158990.4+6845.23+75208.43+3013.9+264.48+72811.53+222.12+78118.45+216.62+78571.2-23.15+1002.78+80561.45+133.08+553.67+334.97+84412.99+2913.98-47.08+80387.26+4251.31+260.24+40.07+91260.45</f>
        <v>820304.4</v>
      </c>
      <c r="M48" s="61"/>
      <c r="N48" s="59">
        <f>O48+P48+Q48</f>
        <v>926806.3</v>
      </c>
      <c r="O48" s="61"/>
      <c r="P48" s="61">
        <v>926806.3</v>
      </c>
      <c r="Q48" s="61"/>
      <c r="R48" s="59">
        <f>S48+T48+U48</f>
        <v>926806.3</v>
      </c>
      <c r="S48" s="61"/>
      <c r="T48" s="61">
        <v>926806.3</v>
      </c>
      <c r="U48" s="61"/>
      <c r="V48" s="62">
        <f t="shared" si="2"/>
        <v>0.90200000000000002</v>
      </c>
    </row>
    <row r="49" spans="1:22" ht="75" customHeight="1">
      <c r="A49" s="41"/>
      <c r="B49" s="32" t="s">
        <v>35</v>
      </c>
      <c r="C49" s="29">
        <v>809</v>
      </c>
      <c r="D49" s="31" t="s">
        <v>22</v>
      </c>
      <c r="E49" s="29" t="s">
        <v>314</v>
      </c>
      <c r="F49" s="59">
        <f>G49+H49+I49</f>
        <v>643765.30000000005</v>
      </c>
      <c r="G49" s="61">
        <f>749050.4-140000+39714.88-5000</f>
        <v>643765.30000000005</v>
      </c>
      <c r="H49" s="61"/>
      <c r="I49" s="61"/>
      <c r="J49" s="59">
        <f>K49+L49+M49</f>
        <v>590302.4</v>
      </c>
      <c r="K49" s="61">
        <f>549830.2+40472.17</f>
        <v>590302.4</v>
      </c>
      <c r="L49" s="61"/>
      <c r="M49" s="61"/>
      <c r="N49" s="59">
        <f>O49+P49+Q49</f>
        <v>696217</v>
      </c>
      <c r="O49" s="61">
        <v>696217</v>
      </c>
      <c r="P49" s="61"/>
      <c r="Q49" s="61"/>
      <c r="R49" s="59">
        <f>S49+T49+U49</f>
        <v>674971.4</v>
      </c>
      <c r="S49" s="61">
        <v>674971.4</v>
      </c>
      <c r="T49" s="61"/>
      <c r="U49" s="61"/>
      <c r="V49" s="62">
        <f t="shared" si="2"/>
        <v>0.91700000000000004</v>
      </c>
    </row>
    <row r="50" spans="1:22" ht="75" customHeight="1">
      <c r="A50" s="41"/>
      <c r="B50" s="32" t="s">
        <v>35</v>
      </c>
      <c r="C50" s="29">
        <v>809</v>
      </c>
      <c r="D50" s="31" t="s">
        <v>22</v>
      </c>
      <c r="E50" s="29" t="s">
        <v>266</v>
      </c>
      <c r="F50" s="59">
        <f t="shared" ref="F50" si="22">G50+H50+I50</f>
        <v>90596.9</v>
      </c>
      <c r="G50" s="61">
        <f>27116.4-11714.88</f>
        <v>15401.5</v>
      </c>
      <c r="H50" s="61">
        <f>132391.6-57196.2</f>
        <v>75195.399999999994</v>
      </c>
      <c r="I50" s="61"/>
      <c r="J50" s="59">
        <f t="shared" ref="J50" si="23">K50+L50+M50</f>
        <v>76405.8</v>
      </c>
      <c r="K50" s="61">
        <f>9684.3+3304.67</f>
        <v>12989</v>
      </c>
      <c r="L50" s="61">
        <f>22651.59+7700.83+118.06+31.62+15615.33+541.7+623.05+16134.66</f>
        <v>63416.800000000003</v>
      </c>
      <c r="M50" s="61"/>
      <c r="N50" s="59">
        <f t="shared" ref="N50" si="24">O50+P50+Q50</f>
        <v>470293.1</v>
      </c>
      <c r="O50" s="61">
        <v>79949.8</v>
      </c>
      <c r="P50" s="61">
        <v>390343.3</v>
      </c>
      <c r="Q50" s="61"/>
      <c r="R50" s="59">
        <f t="shared" ref="R50" si="25">S50+T50+U50</f>
        <v>778425.9</v>
      </c>
      <c r="S50" s="61">
        <v>101195.4</v>
      </c>
      <c r="T50" s="61">
        <v>677230.5</v>
      </c>
      <c r="U50" s="61"/>
      <c r="V50" s="62">
        <f t="shared" si="2"/>
        <v>0.84299999999999997</v>
      </c>
    </row>
    <row r="51" spans="1:22" ht="33">
      <c r="A51" s="44" t="s">
        <v>36</v>
      </c>
      <c r="B51" s="15" t="s">
        <v>37</v>
      </c>
      <c r="C51" s="6" t="s">
        <v>13</v>
      </c>
      <c r="D51" s="6" t="s">
        <v>13</v>
      </c>
      <c r="E51" s="6" t="s">
        <v>13</v>
      </c>
      <c r="F51" s="63">
        <f t="shared" ref="F51:U51" si="26">F53</f>
        <v>0</v>
      </c>
      <c r="G51" s="59">
        <f t="shared" si="26"/>
        <v>0</v>
      </c>
      <c r="H51" s="59">
        <f t="shared" ref="H51" si="27">H53</f>
        <v>0</v>
      </c>
      <c r="I51" s="59">
        <f t="shared" si="26"/>
        <v>0</v>
      </c>
      <c r="J51" s="63">
        <f t="shared" si="26"/>
        <v>0</v>
      </c>
      <c r="K51" s="59">
        <f t="shared" si="26"/>
        <v>0</v>
      </c>
      <c r="L51" s="59">
        <f t="shared" si="26"/>
        <v>0</v>
      </c>
      <c r="M51" s="59">
        <f t="shared" si="26"/>
        <v>0</v>
      </c>
      <c r="N51" s="63">
        <f t="shared" si="26"/>
        <v>3700</v>
      </c>
      <c r="O51" s="59">
        <f t="shared" si="26"/>
        <v>3700</v>
      </c>
      <c r="P51" s="59">
        <f t="shared" si="26"/>
        <v>0</v>
      </c>
      <c r="Q51" s="59">
        <f t="shared" si="26"/>
        <v>0</v>
      </c>
      <c r="R51" s="63">
        <f t="shared" si="26"/>
        <v>3700</v>
      </c>
      <c r="S51" s="59">
        <f t="shared" si="26"/>
        <v>3700</v>
      </c>
      <c r="T51" s="59">
        <f t="shared" si="26"/>
        <v>0</v>
      </c>
      <c r="U51" s="59">
        <f t="shared" si="26"/>
        <v>0</v>
      </c>
      <c r="V51" s="60"/>
    </row>
    <row r="52" spans="1:22" ht="18.75">
      <c r="A52" s="44"/>
      <c r="B52" s="17" t="s">
        <v>16</v>
      </c>
      <c r="C52" s="7"/>
      <c r="D52" s="8"/>
      <c r="E52" s="7"/>
      <c r="F52" s="63"/>
      <c r="G52" s="61"/>
      <c r="H52" s="61"/>
      <c r="I52" s="61"/>
      <c r="J52" s="63"/>
      <c r="K52" s="61"/>
      <c r="L52" s="61"/>
      <c r="M52" s="61"/>
      <c r="N52" s="63"/>
      <c r="O52" s="61"/>
      <c r="P52" s="61"/>
      <c r="Q52" s="61"/>
      <c r="R52" s="63"/>
      <c r="S52" s="61"/>
      <c r="T52" s="61"/>
      <c r="U52" s="61"/>
      <c r="V52" s="62"/>
    </row>
    <row r="53" spans="1:22" ht="108.75" customHeight="1">
      <c r="A53" s="44"/>
      <c r="B53" s="17" t="s">
        <v>38</v>
      </c>
      <c r="C53" s="7">
        <v>811</v>
      </c>
      <c r="D53" s="8" t="s">
        <v>18</v>
      </c>
      <c r="E53" s="7" t="s">
        <v>321</v>
      </c>
      <c r="F53" s="63">
        <f>G53+H53+I53</f>
        <v>0</v>
      </c>
      <c r="G53" s="61">
        <f>3700-3700</f>
        <v>0</v>
      </c>
      <c r="H53" s="61"/>
      <c r="I53" s="61"/>
      <c r="J53" s="63">
        <f>K53+L53+M53</f>
        <v>0</v>
      </c>
      <c r="K53" s="61">
        <f>300+300+300+300+300+320+320+320+320+310-3090</f>
        <v>0</v>
      </c>
      <c r="L53" s="61"/>
      <c r="M53" s="61"/>
      <c r="N53" s="63">
        <f>O53+P53+Q53</f>
        <v>3700</v>
      </c>
      <c r="O53" s="61">
        <v>3700</v>
      </c>
      <c r="P53" s="61"/>
      <c r="Q53" s="61"/>
      <c r="R53" s="63">
        <f>S53+T53+U53</f>
        <v>3700</v>
      </c>
      <c r="S53" s="61">
        <v>3700</v>
      </c>
      <c r="T53" s="61"/>
      <c r="U53" s="61"/>
      <c r="V53" s="62"/>
    </row>
    <row r="54" spans="1:22" ht="18.75">
      <c r="A54" s="48" t="s">
        <v>39</v>
      </c>
      <c r="B54" s="69" t="s">
        <v>40</v>
      </c>
      <c r="C54" s="1" t="s">
        <v>13</v>
      </c>
      <c r="D54" s="1" t="s">
        <v>13</v>
      </c>
      <c r="E54" s="1" t="s">
        <v>13</v>
      </c>
      <c r="F54" s="57">
        <f t="shared" ref="F54" si="28">F55+F63+F68+F72+F76</f>
        <v>2734105.3</v>
      </c>
      <c r="G54" s="57">
        <f t="shared" ref="G54" si="29">G55+G63+G68+G72+G76</f>
        <v>474847.5</v>
      </c>
      <c r="H54" s="57">
        <f>H55+H63+H68+H72+H76</f>
        <v>2259257.7999999998</v>
      </c>
      <c r="I54" s="57">
        <f t="shared" ref="I54" si="30">I55+I63+I68+I72+I76</f>
        <v>0</v>
      </c>
      <c r="J54" s="57">
        <f t="shared" ref="J54" si="31">J55+J63+J68+J72+J76</f>
        <v>794377.9</v>
      </c>
      <c r="K54" s="57">
        <f t="shared" ref="K54" si="32">K55+K63+K68+K72+K76</f>
        <v>212156.1</v>
      </c>
      <c r="L54" s="57">
        <f t="shared" ref="L54" si="33">L55+L63+L68+L72+L76</f>
        <v>582221.80000000005</v>
      </c>
      <c r="M54" s="57">
        <f t="shared" ref="M54" si="34">M55+M63+M68+M72+M76</f>
        <v>0</v>
      </c>
      <c r="N54" s="57">
        <f t="shared" ref="N54" si="35">N55+N63+N68+N72+N76</f>
        <v>3155662</v>
      </c>
      <c r="O54" s="57">
        <f t="shared" ref="O54" si="36">O55+O63+O68+O72+O76</f>
        <v>667351.1</v>
      </c>
      <c r="P54" s="57">
        <f t="shared" ref="P54" si="37">P55+P63+P68+P72+P76</f>
        <v>2488310.9</v>
      </c>
      <c r="Q54" s="57">
        <f t="shared" ref="Q54" si="38">Q55+Q63+Q68+Q72+Q76</f>
        <v>0</v>
      </c>
      <c r="R54" s="57">
        <f t="shared" ref="R54" si="39">R55+R63+R68+R72+R76</f>
        <v>644674.19999999995</v>
      </c>
      <c r="S54" s="57">
        <f t="shared" ref="S54" si="40">S55+S63+S68+S72+S76</f>
        <v>153317.70000000001</v>
      </c>
      <c r="T54" s="57">
        <f t="shared" ref="T54" si="41">T55+T63+T68+T72+T76</f>
        <v>491356.5</v>
      </c>
      <c r="U54" s="57">
        <f t="shared" ref="U54" si="42">U55+U63+U68+U72+U76</f>
        <v>0</v>
      </c>
      <c r="V54" s="58">
        <f t="shared" si="2"/>
        <v>0.29099999999999998</v>
      </c>
    </row>
    <row r="55" spans="1:22" ht="49.5">
      <c r="A55" s="41" t="s">
        <v>41</v>
      </c>
      <c r="B55" s="68" t="s">
        <v>42</v>
      </c>
      <c r="C55" s="27" t="s">
        <v>13</v>
      </c>
      <c r="D55" s="27" t="s">
        <v>13</v>
      </c>
      <c r="E55" s="27" t="s">
        <v>13</v>
      </c>
      <c r="F55" s="59">
        <f t="shared" ref="F55:U55" si="43">SUM(F57:F62)</f>
        <v>381563.8</v>
      </c>
      <c r="G55" s="59">
        <f t="shared" si="43"/>
        <v>214710.39999999999</v>
      </c>
      <c r="H55" s="59">
        <f t="shared" ref="H55" si="44">SUM(H57:H62)</f>
        <v>166853.4</v>
      </c>
      <c r="I55" s="59">
        <f t="shared" si="43"/>
        <v>0</v>
      </c>
      <c r="J55" s="59">
        <f t="shared" si="43"/>
        <v>308660.59999999998</v>
      </c>
      <c r="K55" s="59">
        <f t="shared" si="43"/>
        <v>154674.20000000001</v>
      </c>
      <c r="L55" s="59">
        <f t="shared" si="43"/>
        <v>153986.4</v>
      </c>
      <c r="M55" s="59">
        <f t="shared" si="43"/>
        <v>0</v>
      </c>
      <c r="N55" s="59">
        <f t="shared" si="43"/>
        <v>314977.40000000002</v>
      </c>
      <c r="O55" s="59">
        <f t="shared" si="43"/>
        <v>132852.5</v>
      </c>
      <c r="P55" s="59">
        <f t="shared" si="43"/>
        <v>182124.9</v>
      </c>
      <c r="Q55" s="59">
        <f t="shared" si="43"/>
        <v>0</v>
      </c>
      <c r="R55" s="59">
        <f t="shared" si="43"/>
        <v>232690.3</v>
      </c>
      <c r="S55" s="59">
        <f t="shared" si="43"/>
        <v>117897.5</v>
      </c>
      <c r="T55" s="59">
        <f t="shared" si="43"/>
        <v>114792.8</v>
      </c>
      <c r="U55" s="59">
        <f t="shared" si="43"/>
        <v>0</v>
      </c>
      <c r="V55" s="60">
        <f t="shared" si="2"/>
        <v>0.80900000000000005</v>
      </c>
    </row>
    <row r="56" spans="1:22" ht="18.75">
      <c r="A56" s="47"/>
      <c r="B56" s="28" t="s">
        <v>16</v>
      </c>
      <c r="C56" s="29"/>
      <c r="D56" s="29"/>
      <c r="E56" s="2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60"/>
    </row>
    <row r="57" spans="1:22" ht="77.25" customHeight="1">
      <c r="A57" s="47"/>
      <c r="B57" s="32" t="s">
        <v>43</v>
      </c>
      <c r="C57" s="29">
        <v>811</v>
      </c>
      <c r="D57" s="31" t="s">
        <v>18</v>
      </c>
      <c r="E57" s="29" t="s">
        <v>219</v>
      </c>
      <c r="F57" s="59">
        <f t="shared" ref="F57:F62" si="45">G57+H57+I57</f>
        <v>48897</v>
      </c>
      <c r="G57" s="61"/>
      <c r="H57" s="61">
        <v>48897</v>
      </c>
      <c r="I57" s="61"/>
      <c r="J57" s="59">
        <f t="shared" ref="J57:J62" si="46">K57+L57+M57</f>
        <v>36030</v>
      </c>
      <c r="K57" s="61"/>
      <c r="L57" s="61">
        <f>13760+6880+7691.14+7698.86</f>
        <v>36030</v>
      </c>
      <c r="M57" s="61"/>
      <c r="N57" s="59">
        <f t="shared" ref="N57:N62" si="47">O57+P57+Q57</f>
        <v>0</v>
      </c>
      <c r="O57" s="61"/>
      <c r="P57" s="61"/>
      <c r="Q57" s="61"/>
      <c r="R57" s="59">
        <f t="shared" ref="R57:R62" si="48">S57+T57+U57</f>
        <v>0</v>
      </c>
      <c r="S57" s="61"/>
      <c r="T57" s="61"/>
      <c r="U57" s="61"/>
      <c r="V57" s="62">
        <f t="shared" si="2"/>
        <v>0.73699999999999999</v>
      </c>
    </row>
    <row r="58" spans="1:22" ht="36.75" customHeight="1">
      <c r="A58" s="47"/>
      <c r="B58" s="32" t="s">
        <v>46</v>
      </c>
      <c r="C58" s="29">
        <v>811</v>
      </c>
      <c r="D58" s="31" t="s">
        <v>18</v>
      </c>
      <c r="E58" s="29" t="s">
        <v>317</v>
      </c>
      <c r="F58" s="59">
        <f t="shared" si="45"/>
        <v>162666.79999999999</v>
      </c>
      <c r="G58" s="61">
        <f>52059.8+110607</f>
        <v>162666.79999999999</v>
      </c>
      <c r="H58" s="61"/>
      <c r="I58" s="61"/>
      <c r="J58" s="59">
        <f t="shared" si="46"/>
        <v>102630.6</v>
      </c>
      <c r="K58" s="61">
        <f>4732.7+4732.71+4732.71+4732.71+4732.7+9465.42+4732.71+4732.71+60036.21</f>
        <v>102630.6</v>
      </c>
      <c r="L58" s="61"/>
      <c r="M58" s="61"/>
      <c r="N58" s="59">
        <f t="shared" si="47"/>
        <v>40390.300000000003</v>
      </c>
      <c r="O58" s="61">
        <v>40390.300000000003</v>
      </c>
      <c r="P58" s="61"/>
      <c r="Q58" s="61"/>
      <c r="R58" s="59">
        <f t="shared" si="48"/>
        <v>28690.3</v>
      </c>
      <c r="S58" s="61">
        <v>28690.3</v>
      </c>
      <c r="T58" s="61"/>
      <c r="U58" s="61"/>
      <c r="V58" s="62">
        <f t="shared" si="2"/>
        <v>0.63100000000000001</v>
      </c>
    </row>
    <row r="59" spans="1:22" ht="69.75" customHeight="1">
      <c r="A59" s="47"/>
      <c r="B59" s="32" t="s">
        <v>44</v>
      </c>
      <c r="C59" s="29">
        <v>811</v>
      </c>
      <c r="D59" s="31" t="s">
        <v>18</v>
      </c>
      <c r="E59" s="29" t="s">
        <v>220</v>
      </c>
      <c r="F59" s="59">
        <f t="shared" si="45"/>
        <v>170000</v>
      </c>
      <c r="G59" s="61">
        <v>52043.6</v>
      </c>
      <c r="H59" s="61">
        <v>117956.4</v>
      </c>
      <c r="I59" s="61"/>
      <c r="J59" s="59">
        <f t="shared" si="46"/>
        <v>170000</v>
      </c>
      <c r="K59" s="61">
        <f>7041.2+7041.19+6428.92+7653.47+7041.19+7041.2+7041.19+2755.25</f>
        <v>52043.6</v>
      </c>
      <c r="L59" s="61">
        <f>31917.6+14571.08+17346.53+15958.81+15958.8+15958.81+6244.75</f>
        <v>117956.4</v>
      </c>
      <c r="M59" s="61"/>
      <c r="N59" s="59">
        <f t="shared" si="47"/>
        <v>198000</v>
      </c>
      <c r="O59" s="61">
        <v>86462.2</v>
      </c>
      <c r="P59" s="61">
        <v>111537.8</v>
      </c>
      <c r="Q59" s="61"/>
      <c r="R59" s="59">
        <f t="shared" si="48"/>
        <v>198000</v>
      </c>
      <c r="S59" s="61">
        <v>83207.199999999997</v>
      </c>
      <c r="T59" s="61">
        <v>114792.8</v>
      </c>
      <c r="U59" s="61"/>
      <c r="V59" s="62">
        <f t="shared" si="2"/>
        <v>1</v>
      </c>
    </row>
    <row r="60" spans="1:22" ht="42.75" customHeight="1">
      <c r="A60" s="47"/>
      <c r="B60" s="32" t="s">
        <v>45</v>
      </c>
      <c r="C60" s="29">
        <v>811</v>
      </c>
      <c r="D60" s="31" t="s">
        <v>18</v>
      </c>
      <c r="E60" s="29" t="s">
        <v>318</v>
      </c>
      <c r="F60" s="59">
        <f t="shared" si="45"/>
        <v>0</v>
      </c>
      <c r="G60" s="61">
        <f>6000-6000</f>
        <v>0</v>
      </c>
      <c r="H60" s="61"/>
      <c r="I60" s="61"/>
      <c r="J60" s="59">
        <f t="shared" si="46"/>
        <v>0</v>
      </c>
      <c r="K60" s="61">
        <f>500+500+500+500+500+500+500+500+500+500-5000</f>
        <v>0</v>
      </c>
      <c r="L60" s="61"/>
      <c r="M60" s="61"/>
      <c r="N60" s="59">
        <f t="shared" si="47"/>
        <v>6000</v>
      </c>
      <c r="O60" s="61">
        <v>6000</v>
      </c>
      <c r="P60" s="61"/>
      <c r="Q60" s="61"/>
      <c r="R60" s="59">
        <f t="shared" si="48"/>
        <v>6000</v>
      </c>
      <c r="S60" s="61">
        <v>6000</v>
      </c>
      <c r="T60" s="61"/>
      <c r="U60" s="61"/>
      <c r="V60" s="62"/>
    </row>
    <row r="61" spans="1:22" ht="78" customHeight="1">
      <c r="A61" s="47"/>
      <c r="B61" s="32" t="s">
        <v>47</v>
      </c>
      <c r="C61" s="29">
        <v>811</v>
      </c>
      <c r="D61" s="31" t="s">
        <v>18</v>
      </c>
      <c r="E61" s="29" t="s">
        <v>322</v>
      </c>
      <c r="F61" s="59">
        <f t="shared" si="45"/>
        <v>0</v>
      </c>
      <c r="G61" s="61">
        <f>1900-1900</f>
        <v>0</v>
      </c>
      <c r="H61" s="61"/>
      <c r="I61" s="61"/>
      <c r="J61" s="59">
        <f t="shared" si="46"/>
        <v>0</v>
      </c>
      <c r="K61" s="61">
        <f>200+200+200+200-800</f>
        <v>0</v>
      </c>
      <c r="L61" s="61"/>
      <c r="M61" s="61"/>
      <c r="N61" s="59">
        <f t="shared" si="47"/>
        <v>0</v>
      </c>
      <c r="O61" s="61">
        <f>1900-1900</f>
        <v>0</v>
      </c>
      <c r="P61" s="61"/>
      <c r="Q61" s="61"/>
      <c r="R61" s="59">
        <f t="shared" si="48"/>
        <v>0</v>
      </c>
      <c r="S61" s="61">
        <f>1900-1900</f>
        <v>0</v>
      </c>
      <c r="T61" s="61"/>
      <c r="U61" s="61"/>
      <c r="V61" s="62"/>
    </row>
    <row r="62" spans="1:22" ht="82.5">
      <c r="A62" s="47"/>
      <c r="B62" s="32" t="s">
        <v>217</v>
      </c>
      <c r="C62" s="29">
        <v>811</v>
      </c>
      <c r="D62" s="31" t="s">
        <v>18</v>
      </c>
      <c r="E62" s="29" t="s">
        <v>218</v>
      </c>
      <c r="F62" s="59">
        <f t="shared" si="45"/>
        <v>0</v>
      </c>
      <c r="G62" s="61"/>
      <c r="H62" s="61"/>
      <c r="I62" s="61"/>
      <c r="J62" s="59">
        <f t="shared" si="46"/>
        <v>0</v>
      </c>
      <c r="K62" s="61"/>
      <c r="L62" s="61"/>
      <c r="M62" s="61"/>
      <c r="N62" s="59">
        <f t="shared" si="47"/>
        <v>70587.100000000006</v>
      </c>
      <c r="O62" s="61"/>
      <c r="P62" s="61">
        <v>70587.100000000006</v>
      </c>
      <c r="Q62" s="61"/>
      <c r="R62" s="59">
        <f t="shared" si="48"/>
        <v>0</v>
      </c>
      <c r="S62" s="61"/>
      <c r="T62" s="61"/>
      <c r="U62" s="61"/>
      <c r="V62" s="62"/>
    </row>
    <row r="63" spans="1:22" ht="33">
      <c r="A63" s="41" t="s">
        <v>48</v>
      </c>
      <c r="B63" s="26" t="s">
        <v>49</v>
      </c>
      <c r="C63" s="27" t="s">
        <v>13</v>
      </c>
      <c r="D63" s="27" t="s">
        <v>13</v>
      </c>
      <c r="E63" s="27" t="s">
        <v>13</v>
      </c>
      <c r="F63" s="59">
        <f t="shared" ref="F63:U63" si="49">SUM(F65:F67)</f>
        <v>128607</v>
      </c>
      <c r="G63" s="59">
        <f t="shared" si="49"/>
        <v>1130.2</v>
      </c>
      <c r="H63" s="59">
        <f t="shared" ref="H63" si="50">SUM(H65:H67)</f>
        <v>127476.8</v>
      </c>
      <c r="I63" s="59">
        <f t="shared" si="49"/>
        <v>0</v>
      </c>
      <c r="J63" s="59">
        <f t="shared" si="49"/>
        <v>75618.5</v>
      </c>
      <c r="K63" s="59">
        <f t="shared" si="49"/>
        <v>1013.5</v>
      </c>
      <c r="L63" s="59">
        <f t="shared" si="49"/>
        <v>74605</v>
      </c>
      <c r="M63" s="59">
        <f t="shared" si="49"/>
        <v>0</v>
      </c>
      <c r="N63" s="59">
        <f t="shared" si="49"/>
        <v>113968.5</v>
      </c>
      <c r="O63" s="59">
        <f t="shared" si="49"/>
        <v>6630.2</v>
      </c>
      <c r="P63" s="59">
        <f t="shared" si="49"/>
        <v>107338.3</v>
      </c>
      <c r="Q63" s="59">
        <f t="shared" si="49"/>
        <v>0</v>
      </c>
      <c r="R63" s="59">
        <f t="shared" si="49"/>
        <v>157179</v>
      </c>
      <c r="S63" s="59">
        <f t="shared" si="49"/>
        <v>6630.2</v>
      </c>
      <c r="T63" s="59">
        <f t="shared" si="49"/>
        <v>150548.79999999999</v>
      </c>
      <c r="U63" s="59">
        <f t="shared" si="49"/>
        <v>0</v>
      </c>
      <c r="V63" s="60">
        <f t="shared" ref="V63:V123" si="51">J63/F63</f>
        <v>0.58799999999999997</v>
      </c>
    </row>
    <row r="64" spans="1:22" ht="18.75">
      <c r="A64" s="47"/>
      <c r="B64" s="28" t="s">
        <v>16</v>
      </c>
      <c r="C64" s="29"/>
      <c r="D64" s="29"/>
      <c r="E64" s="2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60"/>
    </row>
    <row r="65" spans="1:22" s="9" customFormat="1" ht="49.5">
      <c r="A65" s="49"/>
      <c r="B65" s="38" t="s">
        <v>50</v>
      </c>
      <c r="C65" s="39">
        <v>811</v>
      </c>
      <c r="D65" s="40" t="s">
        <v>18</v>
      </c>
      <c r="E65" s="39" t="s">
        <v>221</v>
      </c>
      <c r="F65" s="59">
        <f>G65+H65+I65</f>
        <v>90936.5</v>
      </c>
      <c r="G65" s="64"/>
      <c r="H65" s="64">
        <v>90936.5</v>
      </c>
      <c r="I65" s="64"/>
      <c r="J65" s="59">
        <f>K65+L65+M65</f>
        <v>41835.5</v>
      </c>
      <c r="K65" s="64"/>
      <c r="L65" s="64">
        <f>33200+1303.75+96.82+3343.4+260+1700+1931.57</f>
        <v>41835.5</v>
      </c>
      <c r="M65" s="64"/>
      <c r="N65" s="59">
        <f t="shared" ref="N65:N67" si="52">O65+P65+Q65</f>
        <v>70798</v>
      </c>
      <c r="O65" s="64"/>
      <c r="P65" s="64">
        <v>70798</v>
      </c>
      <c r="Q65" s="64"/>
      <c r="R65" s="59">
        <f>S65+T65+U65</f>
        <v>114008.5</v>
      </c>
      <c r="S65" s="64"/>
      <c r="T65" s="64">
        <v>114008.5</v>
      </c>
      <c r="U65" s="64"/>
      <c r="V65" s="65">
        <f t="shared" si="51"/>
        <v>0.46</v>
      </c>
    </row>
    <row r="66" spans="1:22" s="9" customFormat="1" ht="81" customHeight="1">
      <c r="A66" s="49"/>
      <c r="B66" s="38" t="s">
        <v>223</v>
      </c>
      <c r="C66" s="39">
        <v>811</v>
      </c>
      <c r="D66" s="40" t="s">
        <v>18</v>
      </c>
      <c r="E66" s="39" t="s">
        <v>222</v>
      </c>
      <c r="F66" s="59">
        <f>G66+H66+I66</f>
        <v>37670.5</v>
      </c>
      <c r="G66" s="64">
        <v>1130.2</v>
      </c>
      <c r="H66" s="64">
        <v>36540.300000000003</v>
      </c>
      <c r="I66" s="64"/>
      <c r="J66" s="59">
        <f>K66+L66+M66</f>
        <v>33783</v>
      </c>
      <c r="K66" s="64">
        <f>61.4+326+18.01+36.52+31.78+155.94+144.74+63.74+175.38</f>
        <v>1013.5</v>
      </c>
      <c r="L66" s="64">
        <f>20359+4679.66+2060.71+5670.14</f>
        <v>32769.5</v>
      </c>
      <c r="M66" s="64"/>
      <c r="N66" s="59">
        <f t="shared" si="52"/>
        <v>37670.5</v>
      </c>
      <c r="O66" s="64">
        <v>1130.2</v>
      </c>
      <c r="P66" s="64">
        <v>36540.300000000003</v>
      </c>
      <c r="Q66" s="64"/>
      <c r="R66" s="59">
        <f>S66+T66+U66</f>
        <v>37670.5</v>
      </c>
      <c r="S66" s="64">
        <v>1130.2</v>
      </c>
      <c r="T66" s="64">
        <v>36540.300000000003</v>
      </c>
      <c r="U66" s="64"/>
      <c r="V66" s="65">
        <f t="shared" si="51"/>
        <v>0.89700000000000002</v>
      </c>
    </row>
    <row r="67" spans="1:22" s="9" customFormat="1" ht="61.5" customHeight="1">
      <c r="A67" s="49"/>
      <c r="B67" s="38" t="s">
        <v>51</v>
      </c>
      <c r="C67" s="39">
        <v>811</v>
      </c>
      <c r="D67" s="40" t="s">
        <v>18</v>
      </c>
      <c r="E67" s="39" t="s">
        <v>319</v>
      </c>
      <c r="F67" s="59">
        <f>G67+H67+I67</f>
        <v>0</v>
      </c>
      <c r="G67" s="64">
        <f>5500-5500</f>
        <v>0</v>
      </c>
      <c r="H67" s="64"/>
      <c r="I67" s="64"/>
      <c r="J67" s="59">
        <f>K67+L67+M67</f>
        <v>0</v>
      </c>
      <c r="K67" s="64">
        <f>500+500+500+500+500+500+500+500+500+500-5000</f>
        <v>0</v>
      </c>
      <c r="L67" s="64"/>
      <c r="M67" s="64"/>
      <c r="N67" s="59">
        <f t="shared" si="52"/>
        <v>5500</v>
      </c>
      <c r="O67" s="64">
        <v>5500</v>
      </c>
      <c r="P67" s="64"/>
      <c r="Q67" s="64"/>
      <c r="R67" s="59">
        <f>S67+T67+U67</f>
        <v>5500</v>
      </c>
      <c r="S67" s="64">
        <v>5500</v>
      </c>
      <c r="T67" s="64"/>
      <c r="U67" s="64"/>
      <c r="V67" s="65"/>
    </row>
    <row r="68" spans="1:22" ht="66">
      <c r="A68" s="44" t="s">
        <v>52</v>
      </c>
      <c r="B68" s="15" t="s">
        <v>53</v>
      </c>
      <c r="C68" s="6" t="s">
        <v>13</v>
      </c>
      <c r="D68" s="6" t="s">
        <v>13</v>
      </c>
      <c r="E68" s="6" t="s">
        <v>13</v>
      </c>
      <c r="F68" s="63">
        <f t="shared" ref="F68:T68" si="53">SUM(F70:F71)</f>
        <v>105137</v>
      </c>
      <c r="G68" s="59">
        <f t="shared" si="53"/>
        <v>17873.3</v>
      </c>
      <c r="H68" s="59">
        <f t="shared" si="53"/>
        <v>87263.7</v>
      </c>
      <c r="I68" s="59">
        <f t="shared" si="53"/>
        <v>0</v>
      </c>
      <c r="J68" s="63">
        <f t="shared" si="53"/>
        <v>104700.4</v>
      </c>
      <c r="K68" s="59">
        <f t="shared" si="53"/>
        <v>17799.099999999999</v>
      </c>
      <c r="L68" s="59">
        <f t="shared" si="53"/>
        <v>86901.3</v>
      </c>
      <c r="M68" s="59">
        <f t="shared" si="53"/>
        <v>0</v>
      </c>
      <c r="N68" s="63">
        <f t="shared" si="53"/>
        <v>2500</v>
      </c>
      <c r="O68" s="59">
        <f t="shared" si="53"/>
        <v>2500</v>
      </c>
      <c r="P68" s="59">
        <f t="shared" si="53"/>
        <v>0</v>
      </c>
      <c r="Q68" s="59">
        <f t="shared" si="53"/>
        <v>0</v>
      </c>
      <c r="R68" s="63">
        <f t="shared" si="53"/>
        <v>2500</v>
      </c>
      <c r="S68" s="59">
        <f t="shared" si="53"/>
        <v>2500</v>
      </c>
      <c r="T68" s="59">
        <f t="shared" si="53"/>
        <v>0</v>
      </c>
      <c r="U68" s="59">
        <f>SUM(U70:U71)</f>
        <v>0</v>
      </c>
      <c r="V68" s="60">
        <f t="shared" si="51"/>
        <v>0.996</v>
      </c>
    </row>
    <row r="69" spans="1:22" ht="18.75">
      <c r="A69" s="45"/>
      <c r="B69" s="16" t="s">
        <v>16</v>
      </c>
      <c r="C69" s="7"/>
      <c r="D69" s="7"/>
      <c r="E69" s="7"/>
      <c r="F69" s="63"/>
      <c r="G69" s="59"/>
      <c r="H69" s="59"/>
      <c r="I69" s="59"/>
      <c r="J69" s="63"/>
      <c r="K69" s="59"/>
      <c r="L69" s="59"/>
      <c r="M69" s="59"/>
      <c r="N69" s="63"/>
      <c r="O69" s="59"/>
      <c r="P69" s="59"/>
      <c r="Q69" s="59"/>
      <c r="R69" s="63"/>
      <c r="S69" s="59"/>
      <c r="T69" s="59"/>
      <c r="U69" s="59"/>
      <c r="V69" s="60"/>
    </row>
    <row r="70" spans="1:22" ht="82.5">
      <c r="A70" s="45"/>
      <c r="B70" s="17" t="s">
        <v>54</v>
      </c>
      <c r="C70" s="7">
        <v>811</v>
      </c>
      <c r="D70" s="8" t="s">
        <v>18</v>
      </c>
      <c r="E70" s="7" t="s">
        <v>227</v>
      </c>
      <c r="F70" s="63">
        <f t="shared" ref="F70:F71" si="54">G70+H70+I70</f>
        <v>105137</v>
      </c>
      <c r="G70" s="61">
        <f>17629.8+243.5</f>
        <v>17873.3</v>
      </c>
      <c r="H70" s="61">
        <f>87263.7</f>
        <v>87263.7</v>
      </c>
      <c r="I70" s="61"/>
      <c r="J70" s="63">
        <f>K70+L70+M70</f>
        <v>104700.4</v>
      </c>
      <c r="K70" s="61">
        <f>2363+2363+4726+2955.03+67.78+63.5+2322.92+574.84+2363</f>
        <v>17799.099999999999</v>
      </c>
      <c r="L70" s="61">
        <f>11537+11537+23074+14427.47+330.93+310.04+11341.28+2806.58+11537</f>
        <v>86901.3</v>
      </c>
      <c r="M70" s="61"/>
      <c r="N70" s="63">
        <f>O70+P70+Q70</f>
        <v>0</v>
      </c>
      <c r="O70" s="61"/>
      <c r="P70" s="61"/>
      <c r="Q70" s="61"/>
      <c r="R70" s="63">
        <f>S70+T70+U70</f>
        <v>0</v>
      </c>
      <c r="S70" s="61"/>
      <c r="T70" s="61"/>
      <c r="U70" s="61"/>
      <c r="V70" s="62">
        <f t="shared" si="51"/>
        <v>0.996</v>
      </c>
    </row>
    <row r="71" spans="1:22" ht="42" customHeight="1">
      <c r="A71" s="45"/>
      <c r="B71" s="17" t="s">
        <v>55</v>
      </c>
      <c r="C71" s="7">
        <v>811</v>
      </c>
      <c r="D71" s="8" t="s">
        <v>18</v>
      </c>
      <c r="E71" s="7" t="s">
        <v>320</v>
      </c>
      <c r="F71" s="63">
        <f t="shared" si="54"/>
        <v>0</v>
      </c>
      <c r="G71" s="61">
        <f>2500-2500</f>
        <v>0</v>
      </c>
      <c r="H71" s="61"/>
      <c r="I71" s="61"/>
      <c r="J71" s="63">
        <f>K71+L71+M71</f>
        <v>0</v>
      </c>
      <c r="K71" s="61">
        <f>1000+250+250+200+200+200-2100</f>
        <v>0</v>
      </c>
      <c r="L71" s="61"/>
      <c r="M71" s="61"/>
      <c r="N71" s="63">
        <f>O71+P71+Q71</f>
        <v>2500</v>
      </c>
      <c r="O71" s="61">
        <v>2500</v>
      </c>
      <c r="P71" s="61"/>
      <c r="Q71" s="61"/>
      <c r="R71" s="63">
        <f>S71+T71+U71</f>
        <v>2500</v>
      </c>
      <c r="S71" s="61">
        <v>2500</v>
      </c>
      <c r="T71" s="61"/>
      <c r="U71" s="61"/>
      <c r="V71" s="62"/>
    </row>
    <row r="72" spans="1:22" s="50" customFormat="1" ht="82.5">
      <c r="A72" s="41" t="s">
        <v>56</v>
      </c>
      <c r="B72" s="26" t="s">
        <v>57</v>
      </c>
      <c r="C72" s="27" t="s">
        <v>13</v>
      </c>
      <c r="D72" s="27" t="s">
        <v>13</v>
      </c>
      <c r="E72" s="27" t="s">
        <v>13</v>
      </c>
      <c r="F72" s="59">
        <f t="shared" ref="F72:U72" si="55">SUM(F74:F75)</f>
        <v>398018.5</v>
      </c>
      <c r="G72" s="59">
        <f t="shared" si="55"/>
        <v>17900.099999999999</v>
      </c>
      <c r="H72" s="59">
        <f t="shared" ref="H72" si="56">SUM(H74:H75)</f>
        <v>380118.4</v>
      </c>
      <c r="I72" s="59">
        <f t="shared" si="55"/>
        <v>0</v>
      </c>
      <c r="J72" s="59">
        <f t="shared" si="55"/>
        <v>85314.9</v>
      </c>
      <c r="K72" s="59">
        <f t="shared" si="55"/>
        <v>3836.8</v>
      </c>
      <c r="L72" s="59">
        <f t="shared" si="55"/>
        <v>81478.100000000006</v>
      </c>
      <c r="M72" s="59">
        <f t="shared" si="55"/>
        <v>0</v>
      </c>
      <c r="N72" s="59">
        <f t="shared" si="55"/>
        <v>132395.1</v>
      </c>
      <c r="O72" s="59">
        <f t="shared" si="55"/>
        <v>26290</v>
      </c>
      <c r="P72" s="59">
        <f t="shared" si="55"/>
        <v>106105.1</v>
      </c>
      <c r="Q72" s="59">
        <f t="shared" si="55"/>
        <v>0</v>
      </c>
      <c r="R72" s="59">
        <f t="shared" si="55"/>
        <v>39615</v>
      </c>
      <c r="S72" s="59">
        <f t="shared" si="55"/>
        <v>26290</v>
      </c>
      <c r="T72" s="59">
        <f t="shared" si="55"/>
        <v>13325</v>
      </c>
      <c r="U72" s="59">
        <f t="shared" si="55"/>
        <v>0</v>
      </c>
      <c r="V72" s="60">
        <f t="shared" si="51"/>
        <v>0.214</v>
      </c>
    </row>
    <row r="73" spans="1:22" ht="18.75">
      <c r="A73" s="47"/>
      <c r="B73" s="28" t="s">
        <v>16</v>
      </c>
      <c r="C73" s="29"/>
      <c r="D73" s="29"/>
      <c r="E73" s="2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60"/>
    </row>
    <row r="74" spans="1:22" ht="66">
      <c r="A74" s="47"/>
      <c r="B74" s="32" t="s">
        <v>58</v>
      </c>
      <c r="C74" s="29">
        <v>811</v>
      </c>
      <c r="D74" s="31" t="s">
        <v>18</v>
      </c>
      <c r="E74" s="29" t="s">
        <v>228</v>
      </c>
      <c r="F74" s="59">
        <f>G74+H74+I74</f>
        <v>398018.5</v>
      </c>
      <c r="G74" s="61">
        <f>17790+110.09</f>
        <v>17900.099999999999</v>
      </c>
      <c r="H74" s="61">
        <f>379423+695.4</f>
        <v>380118.4</v>
      </c>
      <c r="I74" s="61"/>
      <c r="J74" s="59">
        <f>K74+L74+M74</f>
        <v>85314.9</v>
      </c>
      <c r="K74" s="61">
        <f>3562+274.82</f>
        <v>3836.8</v>
      </c>
      <c r="L74" s="61">
        <v>81478.100000000006</v>
      </c>
      <c r="M74" s="61"/>
      <c r="N74" s="59">
        <f t="shared" ref="N74:N75" si="57">O74+P74+Q74</f>
        <v>123895.1</v>
      </c>
      <c r="O74" s="61">
        <v>17790</v>
      </c>
      <c r="P74" s="61">
        <v>106105.1</v>
      </c>
      <c r="Q74" s="61"/>
      <c r="R74" s="59">
        <f>S74+T74+U74</f>
        <v>31115</v>
      </c>
      <c r="S74" s="61">
        <v>17790</v>
      </c>
      <c r="T74" s="61">
        <v>13325</v>
      </c>
      <c r="U74" s="61"/>
      <c r="V74" s="62">
        <f t="shared" si="51"/>
        <v>0.214</v>
      </c>
    </row>
    <row r="75" spans="1:22" ht="49.5">
      <c r="A75" s="47"/>
      <c r="B75" s="32" t="s">
        <v>59</v>
      </c>
      <c r="C75" s="29">
        <v>811</v>
      </c>
      <c r="D75" s="31" t="s">
        <v>18</v>
      </c>
      <c r="E75" s="29" t="s">
        <v>316</v>
      </c>
      <c r="F75" s="59">
        <f>G75+H75+I75</f>
        <v>0</v>
      </c>
      <c r="G75" s="61">
        <f>6807.4-110.09-6697.3</f>
        <v>0</v>
      </c>
      <c r="H75" s="61"/>
      <c r="I75" s="61"/>
      <c r="J75" s="59">
        <f>K75+L75+M75</f>
        <v>0</v>
      </c>
      <c r="K75" s="61">
        <f>2400+600+900+900+500+500+589.9-6389.9</f>
        <v>0</v>
      </c>
      <c r="L75" s="61"/>
      <c r="M75" s="61"/>
      <c r="N75" s="59">
        <f t="shared" si="57"/>
        <v>8500</v>
      </c>
      <c r="O75" s="61">
        <v>8500</v>
      </c>
      <c r="P75" s="61"/>
      <c r="Q75" s="61"/>
      <c r="R75" s="59">
        <f>S75+T75+U75</f>
        <v>8500</v>
      </c>
      <c r="S75" s="61">
        <v>8500</v>
      </c>
      <c r="T75" s="61"/>
      <c r="U75" s="61"/>
      <c r="V75" s="62"/>
    </row>
    <row r="76" spans="1:22" s="50" customFormat="1" ht="33">
      <c r="A76" s="33" t="s">
        <v>60</v>
      </c>
      <c r="B76" s="26" t="s">
        <v>61</v>
      </c>
      <c r="C76" s="27" t="s">
        <v>13</v>
      </c>
      <c r="D76" s="27" t="s">
        <v>13</v>
      </c>
      <c r="E76" s="27" t="s">
        <v>13</v>
      </c>
      <c r="F76" s="59">
        <f>SUM(F78:F80)</f>
        <v>1720779</v>
      </c>
      <c r="G76" s="59">
        <f t="shared" ref="G76:U76" si="58">SUM(G78:G80)</f>
        <v>223233.5</v>
      </c>
      <c r="H76" s="59">
        <f t="shared" si="58"/>
        <v>1497545.5</v>
      </c>
      <c r="I76" s="59">
        <f t="shared" si="58"/>
        <v>0</v>
      </c>
      <c r="J76" s="59">
        <f t="shared" si="58"/>
        <v>220083.5</v>
      </c>
      <c r="K76" s="59">
        <f t="shared" si="58"/>
        <v>34832.5</v>
      </c>
      <c r="L76" s="59">
        <f t="shared" si="58"/>
        <v>185251</v>
      </c>
      <c r="M76" s="59">
        <f t="shared" si="58"/>
        <v>0</v>
      </c>
      <c r="N76" s="59">
        <f t="shared" si="58"/>
        <v>2591821</v>
      </c>
      <c r="O76" s="59">
        <f t="shared" si="58"/>
        <v>499078.40000000002</v>
      </c>
      <c r="P76" s="59">
        <f t="shared" si="58"/>
        <v>2092742.6</v>
      </c>
      <c r="Q76" s="59">
        <f t="shared" si="58"/>
        <v>0</v>
      </c>
      <c r="R76" s="59">
        <f t="shared" si="58"/>
        <v>212689.9</v>
      </c>
      <c r="S76" s="59">
        <f t="shared" si="58"/>
        <v>0</v>
      </c>
      <c r="T76" s="59">
        <f t="shared" si="58"/>
        <v>212689.9</v>
      </c>
      <c r="U76" s="59">
        <f t="shared" si="58"/>
        <v>0</v>
      </c>
      <c r="V76" s="60">
        <f t="shared" si="51"/>
        <v>0.128</v>
      </c>
    </row>
    <row r="77" spans="1:22" ht="18.75">
      <c r="A77" s="45"/>
      <c r="B77" s="16" t="s">
        <v>16</v>
      </c>
      <c r="C77" s="7"/>
      <c r="D77" s="7"/>
      <c r="E77" s="7"/>
      <c r="F77" s="63"/>
      <c r="G77" s="59"/>
      <c r="H77" s="59"/>
      <c r="I77" s="59"/>
      <c r="J77" s="63"/>
      <c r="K77" s="59"/>
      <c r="L77" s="59"/>
      <c r="M77" s="59"/>
      <c r="N77" s="63"/>
      <c r="O77" s="59"/>
      <c r="P77" s="59"/>
      <c r="Q77" s="59"/>
      <c r="R77" s="63"/>
      <c r="S77" s="59"/>
      <c r="T77" s="59"/>
      <c r="U77" s="59"/>
      <c r="V77" s="60"/>
    </row>
    <row r="78" spans="1:22" ht="56.25" customHeight="1">
      <c r="A78" s="44"/>
      <c r="B78" s="17" t="s">
        <v>224</v>
      </c>
      <c r="C78" s="7">
        <v>811</v>
      </c>
      <c r="D78" s="8" t="s">
        <v>18</v>
      </c>
      <c r="E78" s="7" t="s">
        <v>225</v>
      </c>
      <c r="F78" s="63">
        <f>G78+H78+I78</f>
        <v>438102.8</v>
      </c>
      <c r="G78" s="61"/>
      <c r="H78" s="61">
        <v>438102.8</v>
      </c>
      <c r="I78" s="61"/>
      <c r="J78" s="63">
        <f>K78+L78+M78</f>
        <v>24267.7</v>
      </c>
      <c r="K78" s="61"/>
      <c r="L78" s="61">
        <f>5618+18649.7</f>
        <v>24267.7</v>
      </c>
      <c r="M78" s="61"/>
      <c r="N78" s="63">
        <f t="shared" ref="N78:N80" si="59">O78+P78+Q78</f>
        <v>177770.6</v>
      </c>
      <c r="O78" s="61"/>
      <c r="P78" s="61">
        <v>177770.6</v>
      </c>
      <c r="Q78" s="61"/>
      <c r="R78" s="63">
        <f>S78+T78+U78</f>
        <v>212689.9</v>
      </c>
      <c r="S78" s="61"/>
      <c r="T78" s="61">
        <v>212689.9</v>
      </c>
      <c r="U78" s="61"/>
      <c r="V78" s="62">
        <f t="shared" si="51"/>
        <v>5.5E-2</v>
      </c>
    </row>
    <row r="79" spans="1:22" ht="75.75" customHeight="1">
      <c r="A79" s="44"/>
      <c r="B79" s="17" t="s">
        <v>384</v>
      </c>
      <c r="C79" s="7">
        <v>821</v>
      </c>
      <c r="D79" s="8" t="s">
        <v>20</v>
      </c>
      <c r="E79" s="7" t="s">
        <v>226</v>
      </c>
      <c r="F79" s="63">
        <f>G79+H79+I79</f>
        <v>1280863.3</v>
      </c>
      <c r="G79" s="61">
        <f>202067.8+21155.23+10.49-1812.9</f>
        <v>221420.6</v>
      </c>
      <c r="H79" s="61">
        <f>957485+101957.7</f>
        <v>1059442.7</v>
      </c>
      <c r="I79" s="61"/>
      <c r="J79" s="63">
        <f>K79+L79+M79</f>
        <v>194494</v>
      </c>
      <c r="K79" s="61">
        <f>3513.6+2566.08+4534.12+606.92+4121.33+1583.63-440.6+5615.2+2443.3+773.61+1040.87+3295.53+103.86+1970.49+1782.72</f>
        <v>33510.699999999997</v>
      </c>
      <c r="L79" s="61">
        <f>126584.4+15874.95+500.29+9492.08+8531.59</f>
        <v>160983.29999999999</v>
      </c>
      <c r="M79" s="61"/>
      <c r="N79" s="63">
        <f t="shared" si="59"/>
        <v>2413943.2000000002</v>
      </c>
      <c r="O79" s="61">
        <f>499078.4-107.2</f>
        <v>498971.2</v>
      </c>
      <c r="P79" s="61">
        <v>1914972</v>
      </c>
      <c r="Q79" s="61"/>
      <c r="R79" s="63">
        <f>S79+T79+U79</f>
        <v>0</v>
      </c>
      <c r="S79" s="61"/>
      <c r="T79" s="61"/>
      <c r="U79" s="61"/>
      <c r="V79" s="62">
        <f t="shared" si="51"/>
        <v>0.152</v>
      </c>
    </row>
    <row r="80" spans="1:22" ht="33">
      <c r="A80" s="44"/>
      <c r="B80" s="17" t="s">
        <v>429</v>
      </c>
      <c r="C80" s="7">
        <v>821</v>
      </c>
      <c r="D80" s="8" t="s">
        <v>20</v>
      </c>
      <c r="E80" s="7" t="s">
        <v>430</v>
      </c>
      <c r="F80" s="63">
        <f>G80+H80+I80</f>
        <v>1812.9</v>
      </c>
      <c r="G80" s="61">
        <f>1812.9</f>
        <v>1812.9</v>
      </c>
      <c r="H80" s="61"/>
      <c r="I80" s="61"/>
      <c r="J80" s="63">
        <f>K80+L80+M80</f>
        <v>1321.8</v>
      </c>
      <c r="K80" s="61">
        <f>881.2+440.59</f>
        <v>1321.8</v>
      </c>
      <c r="L80" s="61"/>
      <c r="M80" s="61"/>
      <c r="N80" s="63">
        <f t="shared" si="59"/>
        <v>107.2</v>
      </c>
      <c r="O80" s="61">
        <v>107.2</v>
      </c>
      <c r="P80" s="61"/>
      <c r="Q80" s="61"/>
      <c r="R80" s="63">
        <f>S80+T80+U80</f>
        <v>0</v>
      </c>
      <c r="S80" s="61"/>
      <c r="T80" s="61"/>
      <c r="U80" s="61"/>
      <c r="V80" s="62">
        <f t="shared" si="51"/>
        <v>0.72899999999999998</v>
      </c>
    </row>
    <row r="81" spans="1:22" ht="18.75">
      <c r="A81" s="46" t="s">
        <v>62</v>
      </c>
      <c r="B81" s="21" t="s">
        <v>63</v>
      </c>
      <c r="C81" s="1" t="s">
        <v>13</v>
      </c>
      <c r="D81" s="1" t="s">
        <v>13</v>
      </c>
      <c r="E81" s="1" t="s">
        <v>13</v>
      </c>
      <c r="F81" s="57">
        <f t="shared" ref="F81:U81" si="60">F82+F93+F101+F112+F120+F123+F126</f>
        <v>1770794.7</v>
      </c>
      <c r="G81" s="57">
        <f t="shared" si="60"/>
        <v>1305314</v>
      </c>
      <c r="H81" s="57">
        <f t="shared" si="60"/>
        <v>424584.6</v>
      </c>
      <c r="I81" s="57">
        <f t="shared" si="60"/>
        <v>40896.1</v>
      </c>
      <c r="J81" s="57">
        <f t="shared" si="60"/>
        <v>1596433.6</v>
      </c>
      <c r="K81" s="57">
        <f t="shared" si="60"/>
        <v>1250148.2</v>
      </c>
      <c r="L81" s="57">
        <f t="shared" si="60"/>
        <v>332411.90000000002</v>
      </c>
      <c r="M81" s="57">
        <f t="shared" si="60"/>
        <v>13873.5</v>
      </c>
      <c r="N81" s="57">
        <f t="shared" si="60"/>
        <v>1953715.3</v>
      </c>
      <c r="O81" s="57">
        <f t="shared" si="60"/>
        <v>907005.1</v>
      </c>
      <c r="P81" s="57">
        <f t="shared" si="60"/>
        <v>1046710.2</v>
      </c>
      <c r="Q81" s="57">
        <f t="shared" si="60"/>
        <v>0</v>
      </c>
      <c r="R81" s="57">
        <f t="shared" si="60"/>
        <v>1355775.8</v>
      </c>
      <c r="S81" s="57">
        <f t="shared" si="60"/>
        <v>970286.5</v>
      </c>
      <c r="T81" s="57">
        <f t="shared" si="60"/>
        <v>385489.3</v>
      </c>
      <c r="U81" s="57">
        <f t="shared" si="60"/>
        <v>0</v>
      </c>
      <c r="V81" s="58">
        <f t="shared" si="51"/>
        <v>0.90200000000000002</v>
      </c>
    </row>
    <row r="82" spans="1:22" ht="33">
      <c r="A82" s="44" t="s">
        <v>64</v>
      </c>
      <c r="B82" s="15" t="s">
        <v>65</v>
      </c>
      <c r="C82" s="6" t="s">
        <v>13</v>
      </c>
      <c r="D82" s="6" t="s">
        <v>13</v>
      </c>
      <c r="E82" s="6" t="s">
        <v>13</v>
      </c>
      <c r="F82" s="63">
        <f>SUM(F84:F92)</f>
        <v>1310401.6000000001</v>
      </c>
      <c r="G82" s="59">
        <f t="shared" ref="G82:U82" si="61">SUM(G84:G92)</f>
        <v>1128854.5</v>
      </c>
      <c r="H82" s="59">
        <f t="shared" ref="H82" si="62">SUM(H84:H92)</f>
        <v>140663.79999999999</v>
      </c>
      <c r="I82" s="59">
        <f t="shared" si="61"/>
        <v>40883.300000000003</v>
      </c>
      <c r="J82" s="63">
        <f t="shared" si="61"/>
        <v>1182994.3999999999</v>
      </c>
      <c r="K82" s="59">
        <f t="shared" si="61"/>
        <v>1101069.6000000001</v>
      </c>
      <c r="L82" s="59">
        <f t="shared" si="61"/>
        <v>68054.100000000006</v>
      </c>
      <c r="M82" s="59">
        <f t="shared" si="61"/>
        <v>13870.7</v>
      </c>
      <c r="N82" s="63">
        <f t="shared" si="61"/>
        <v>1040766</v>
      </c>
      <c r="O82" s="59">
        <f t="shared" si="61"/>
        <v>688444.2</v>
      </c>
      <c r="P82" s="59">
        <f t="shared" si="61"/>
        <v>352321.8</v>
      </c>
      <c r="Q82" s="59">
        <f t="shared" si="61"/>
        <v>0</v>
      </c>
      <c r="R82" s="63">
        <f t="shared" si="61"/>
        <v>1051651.8999999999</v>
      </c>
      <c r="S82" s="59">
        <f t="shared" si="61"/>
        <v>698195.2</v>
      </c>
      <c r="T82" s="59">
        <f t="shared" si="61"/>
        <v>353456.7</v>
      </c>
      <c r="U82" s="59">
        <f t="shared" si="61"/>
        <v>0</v>
      </c>
      <c r="V82" s="60">
        <f t="shared" si="51"/>
        <v>0.90300000000000002</v>
      </c>
    </row>
    <row r="83" spans="1:22" ht="18.75">
      <c r="A83" s="47"/>
      <c r="B83" s="28" t="s">
        <v>16</v>
      </c>
      <c r="C83" s="29"/>
      <c r="D83" s="29"/>
      <c r="E83" s="2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60"/>
    </row>
    <row r="84" spans="1:22" ht="111" customHeight="1">
      <c r="A84" s="47"/>
      <c r="B84" s="32" t="s">
        <v>241</v>
      </c>
      <c r="C84" s="29">
        <v>815</v>
      </c>
      <c r="D84" s="31" t="s">
        <v>66</v>
      </c>
      <c r="E84" s="42" t="s">
        <v>242</v>
      </c>
      <c r="F84" s="59">
        <f t="shared" ref="F84:F92" si="63">G84+H84+I84</f>
        <v>32506.5</v>
      </c>
      <c r="G84" s="61">
        <v>1038.9000000000001</v>
      </c>
      <c r="H84" s="61">
        <f>33589.8-2122.23</f>
        <v>31467.599999999999</v>
      </c>
      <c r="I84" s="61"/>
      <c r="J84" s="59">
        <f t="shared" ref="J84:J92" si="64">K84+L84+M84</f>
        <v>28390.9</v>
      </c>
      <c r="K84" s="61">
        <f>2+1.18+234.16+71.93+10.96+4.6+14.34+49.43+23.98+10.53+36.88+37.55+1.68+262.78+89.69</f>
        <v>851.7</v>
      </c>
      <c r="L84" s="61">
        <f>10001.1+354.4+148.66+463.74+1598.16+775.22+340.55+1192.52+1214.26+54.33+8496.46+2899.82</f>
        <v>27539.200000000001</v>
      </c>
      <c r="M84" s="61"/>
      <c r="N84" s="59">
        <f t="shared" ref="N84:N92" si="65">O84+P84+Q84</f>
        <v>0</v>
      </c>
      <c r="O84" s="61"/>
      <c r="P84" s="61"/>
      <c r="Q84" s="61"/>
      <c r="R84" s="59">
        <f t="shared" ref="R84:R92" si="66">S84+T84+U84</f>
        <v>0</v>
      </c>
      <c r="S84" s="61"/>
      <c r="T84" s="61"/>
      <c r="U84" s="61"/>
      <c r="V84" s="62">
        <f t="shared" si="51"/>
        <v>0.873</v>
      </c>
    </row>
    <row r="85" spans="1:22" ht="82.5">
      <c r="A85" s="47"/>
      <c r="B85" s="32" t="s">
        <v>243</v>
      </c>
      <c r="C85" s="29">
        <v>815</v>
      </c>
      <c r="D85" s="31" t="s">
        <v>66</v>
      </c>
      <c r="E85" s="42" t="s">
        <v>244</v>
      </c>
      <c r="F85" s="59">
        <f t="shared" si="63"/>
        <v>19386.7</v>
      </c>
      <c r="G85" s="61">
        <v>6493.4</v>
      </c>
      <c r="H85" s="61">
        <f>12893.3</f>
        <v>12893.3</v>
      </c>
      <c r="I85" s="61"/>
      <c r="J85" s="59">
        <f t="shared" si="64"/>
        <v>17934.400000000001</v>
      </c>
      <c r="K85" s="61">
        <f>4470.9+20.12+567.43</f>
        <v>5058.5</v>
      </c>
      <c r="L85" s="61">
        <f>1532.9+662.79+3499+1135.24+2579.73+1466.37+120.9+396.67+1274.12+208.16</f>
        <v>12875.9</v>
      </c>
      <c r="M85" s="61"/>
      <c r="N85" s="59">
        <f t="shared" si="65"/>
        <v>14766</v>
      </c>
      <c r="O85" s="61">
        <v>600</v>
      </c>
      <c r="P85" s="61">
        <v>14166</v>
      </c>
      <c r="Q85" s="61"/>
      <c r="R85" s="59">
        <f t="shared" si="66"/>
        <v>25652</v>
      </c>
      <c r="S85" s="61">
        <v>10351</v>
      </c>
      <c r="T85" s="61">
        <v>15301</v>
      </c>
      <c r="U85" s="61"/>
      <c r="V85" s="62">
        <f t="shared" si="51"/>
        <v>0.92500000000000004</v>
      </c>
    </row>
    <row r="86" spans="1:22" ht="75" customHeight="1">
      <c r="A86" s="47"/>
      <c r="B86" s="32" t="s">
        <v>176</v>
      </c>
      <c r="C86" s="29">
        <v>821</v>
      </c>
      <c r="D86" s="31" t="s">
        <v>20</v>
      </c>
      <c r="E86" s="42" t="s">
        <v>368</v>
      </c>
      <c r="F86" s="59">
        <f t="shared" si="63"/>
        <v>361712</v>
      </c>
      <c r="G86" s="61">
        <f>307301.8-25729.1-13780.5-3440.75</f>
        <v>264351.5</v>
      </c>
      <c r="H86" s="61">
        <v>96302.9</v>
      </c>
      <c r="I86" s="61">
        <v>1057.5999999999999</v>
      </c>
      <c r="J86" s="59">
        <f t="shared" si="64"/>
        <v>290214.90000000002</v>
      </c>
      <c r="K86" s="61">
        <f>93.4+116.79+261373.01+230.93+413.72</f>
        <v>262227.90000000002</v>
      </c>
      <c r="L86" s="61">
        <f>3018.8+3776.21+7466.87+13377.07</f>
        <v>27639</v>
      </c>
      <c r="M86" s="61">
        <v>348</v>
      </c>
      <c r="N86" s="59">
        <f t="shared" si="65"/>
        <v>0</v>
      </c>
      <c r="O86" s="61"/>
      <c r="P86" s="61"/>
      <c r="Q86" s="61"/>
      <c r="R86" s="59">
        <f t="shared" si="66"/>
        <v>0</v>
      </c>
      <c r="S86" s="61"/>
      <c r="T86" s="61"/>
      <c r="U86" s="61"/>
      <c r="V86" s="62">
        <f t="shared" si="51"/>
        <v>0.80200000000000005</v>
      </c>
    </row>
    <row r="87" spans="1:22" ht="80.25" customHeight="1">
      <c r="A87" s="47"/>
      <c r="B87" s="32" t="s">
        <v>345</v>
      </c>
      <c r="C87" s="29">
        <v>815</v>
      </c>
      <c r="D87" s="31" t="s">
        <v>66</v>
      </c>
      <c r="E87" s="42" t="s">
        <v>344</v>
      </c>
      <c r="F87" s="59">
        <f t="shared" si="63"/>
        <v>0</v>
      </c>
      <c r="G87" s="61">
        <f>69119.8-69119.8</f>
        <v>0</v>
      </c>
      <c r="H87" s="61"/>
      <c r="I87" s="61"/>
      <c r="J87" s="59">
        <f t="shared" si="64"/>
        <v>0</v>
      </c>
      <c r="K87" s="61">
        <f>4774.25-4774.25</f>
        <v>0</v>
      </c>
      <c r="L87" s="61"/>
      <c r="M87" s="61"/>
      <c r="N87" s="59">
        <f t="shared" si="65"/>
        <v>0</v>
      </c>
      <c r="O87" s="61"/>
      <c r="P87" s="61"/>
      <c r="Q87" s="61"/>
      <c r="R87" s="59">
        <f t="shared" si="66"/>
        <v>0</v>
      </c>
      <c r="S87" s="61"/>
      <c r="T87" s="61"/>
      <c r="U87" s="61"/>
      <c r="V87" s="62"/>
    </row>
    <row r="88" spans="1:22" ht="44.25" customHeight="1">
      <c r="A88" s="47"/>
      <c r="B88" s="32" t="s">
        <v>405</v>
      </c>
      <c r="C88" s="29">
        <v>821</v>
      </c>
      <c r="D88" s="31" t="s">
        <v>20</v>
      </c>
      <c r="E88" s="42" t="s">
        <v>404</v>
      </c>
      <c r="F88" s="59">
        <f t="shared" si="63"/>
        <v>17428.599999999999</v>
      </c>
      <c r="G88" s="61">
        <v>17221.2</v>
      </c>
      <c r="H88" s="61"/>
      <c r="I88" s="61">
        <v>207.4</v>
      </c>
      <c r="J88" s="59">
        <f t="shared" si="64"/>
        <v>0</v>
      </c>
      <c r="K88" s="61"/>
      <c r="L88" s="61"/>
      <c r="M88" s="61"/>
      <c r="N88" s="59">
        <f t="shared" si="65"/>
        <v>0</v>
      </c>
      <c r="O88" s="61"/>
      <c r="P88" s="61"/>
      <c r="Q88" s="61"/>
      <c r="R88" s="59">
        <f t="shared" si="66"/>
        <v>0</v>
      </c>
      <c r="S88" s="61"/>
      <c r="T88" s="61"/>
      <c r="U88" s="61"/>
      <c r="V88" s="62">
        <f t="shared" si="51"/>
        <v>0</v>
      </c>
    </row>
    <row r="89" spans="1:22" ht="41.25" customHeight="1">
      <c r="A89" s="47"/>
      <c r="B89" s="32" t="s">
        <v>177</v>
      </c>
      <c r="C89" s="29">
        <v>821</v>
      </c>
      <c r="D89" s="31" t="s">
        <v>20</v>
      </c>
      <c r="E89" s="42" t="s">
        <v>245</v>
      </c>
      <c r="F89" s="59">
        <f t="shared" si="63"/>
        <v>732866.7</v>
      </c>
      <c r="G89" s="61">
        <v>731973.7</v>
      </c>
      <c r="H89" s="61"/>
      <c r="I89" s="61">
        <v>893</v>
      </c>
      <c r="J89" s="59">
        <f t="shared" si="64"/>
        <v>732866.6</v>
      </c>
      <c r="K89" s="61">
        <v>731973.7</v>
      </c>
      <c r="L89" s="61"/>
      <c r="M89" s="61">
        <v>892.9</v>
      </c>
      <c r="N89" s="59">
        <f t="shared" si="65"/>
        <v>1026000</v>
      </c>
      <c r="O89" s="61">
        <v>687844.2</v>
      </c>
      <c r="P89" s="61">
        <v>338155.8</v>
      </c>
      <c r="Q89" s="61"/>
      <c r="R89" s="59">
        <f t="shared" si="66"/>
        <v>1025999.9</v>
      </c>
      <c r="S89" s="61">
        <v>687844.2</v>
      </c>
      <c r="T89" s="61">
        <v>338155.7</v>
      </c>
      <c r="U89" s="61"/>
      <c r="V89" s="62">
        <f t="shared" si="51"/>
        <v>1</v>
      </c>
    </row>
    <row r="90" spans="1:22" ht="56.25" customHeight="1">
      <c r="A90" s="47"/>
      <c r="B90" s="32" t="s">
        <v>67</v>
      </c>
      <c r="C90" s="29">
        <v>815</v>
      </c>
      <c r="D90" s="31" t="s">
        <v>66</v>
      </c>
      <c r="E90" s="42" t="s">
        <v>395</v>
      </c>
      <c r="F90" s="59">
        <f t="shared" si="63"/>
        <v>77312</v>
      </c>
      <c r="G90" s="61">
        <f>44318-5662</f>
        <v>38656</v>
      </c>
      <c r="H90" s="61"/>
      <c r="I90" s="61">
        <v>38656</v>
      </c>
      <c r="J90" s="59">
        <f t="shared" si="64"/>
        <v>44467.8</v>
      </c>
      <c r="K90" s="61">
        <f>1371.7+30466.25</f>
        <v>31838</v>
      </c>
      <c r="L90" s="61"/>
      <c r="M90" s="61">
        <v>12629.8</v>
      </c>
      <c r="N90" s="59">
        <f t="shared" si="65"/>
        <v>0</v>
      </c>
      <c r="O90" s="61"/>
      <c r="P90" s="61"/>
      <c r="Q90" s="61"/>
      <c r="R90" s="59">
        <f t="shared" si="66"/>
        <v>0</v>
      </c>
      <c r="S90" s="61"/>
      <c r="T90" s="61"/>
      <c r="U90" s="61"/>
      <c r="V90" s="62">
        <f t="shared" si="51"/>
        <v>0.57499999999999996</v>
      </c>
    </row>
    <row r="91" spans="1:22" ht="78" customHeight="1">
      <c r="A91" s="47"/>
      <c r="B91" s="32" t="s">
        <v>345</v>
      </c>
      <c r="C91" s="29">
        <v>815</v>
      </c>
      <c r="D91" s="31" t="s">
        <v>66</v>
      </c>
      <c r="E91" s="42" t="s">
        <v>403</v>
      </c>
      <c r="F91" s="59">
        <f t="shared" si="63"/>
        <v>69189.100000000006</v>
      </c>
      <c r="G91" s="61">
        <v>69119.8</v>
      </c>
      <c r="H91" s="61"/>
      <c r="I91" s="61">
        <v>69.3</v>
      </c>
      <c r="J91" s="59">
        <f t="shared" si="64"/>
        <v>69119.8</v>
      </c>
      <c r="K91" s="61">
        <v>69119.8</v>
      </c>
      <c r="L91" s="61"/>
      <c r="M91" s="61"/>
      <c r="N91" s="59">
        <f t="shared" si="65"/>
        <v>0</v>
      </c>
      <c r="O91" s="61"/>
      <c r="P91" s="61"/>
      <c r="Q91" s="61"/>
      <c r="R91" s="59">
        <f t="shared" si="66"/>
        <v>0</v>
      </c>
      <c r="S91" s="61"/>
      <c r="T91" s="61"/>
      <c r="U91" s="61"/>
      <c r="V91" s="62">
        <f t="shared" si="51"/>
        <v>0.999</v>
      </c>
    </row>
    <row r="92" spans="1:22" ht="49.5">
      <c r="A92" s="47"/>
      <c r="B92" s="32" t="s">
        <v>67</v>
      </c>
      <c r="C92" s="29">
        <v>815</v>
      </c>
      <c r="D92" s="31" t="s">
        <v>66</v>
      </c>
      <c r="E92" s="42" t="s">
        <v>346</v>
      </c>
      <c r="F92" s="59">
        <f t="shared" si="63"/>
        <v>0</v>
      </c>
      <c r="G92" s="61">
        <f>44318-44318</f>
        <v>0</v>
      </c>
      <c r="H92" s="61"/>
      <c r="I92" s="61"/>
      <c r="J92" s="59">
        <f t="shared" si="64"/>
        <v>0</v>
      </c>
      <c r="K92" s="61"/>
      <c r="L92" s="61"/>
      <c r="M92" s="61"/>
      <c r="N92" s="59">
        <f t="shared" si="65"/>
        <v>0</v>
      </c>
      <c r="O92" s="61"/>
      <c r="P92" s="61"/>
      <c r="Q92" s="61"/>
      <c r="R92" s="59">
        <f t="shared" si="66"/>
        <v>0</v>
      </c>
      <c r="S92" s="61"/>
      <c r="T92" s="61"/>
      <c r="U92" s="61"/>
      <c r="V92" s="62"/>
    </row>
    <row r="93" spans="1:22" ht="33">
      <c r="A93" s="41" t="s">
        <v>68</v>
      </c>
      <c r="B93" s="26" t="s">
        <v>69</v>
      </c>
      <c r="C93" s="27" t="s">
        <v>13</v>
      </c>
      <c r="D93" s="27" t="s">
        <v>13</v>
      </c>
      <c r="E93" s="27" t="s">
        <v>13</v>
      </c>
      <c r="F93" s="59">
        <f>SUM(F95:F100)</f>
        <v>285697.59999999998</v>
      </c>
      <c r="G93" s="59">
        <f>SUM(G95:G100)</f>
        <v>65893.2</v>
      </c>
      <c r="H93" s="59">
        <f t="shared" ref="H93" si="67">SUM(H95:H100)</f>
        <v>219804.4</v>
      </c>
      <c r="I93" s="59">
        <f t="shared" ref="I93:U93" si="68">SUM(I95:I100)</f>
        <v>0</v>
      </c>
      <c r="J93" s="59">
        <f t="shared" si="68"/>
        <v>272411.3</v>
      </c>
      <c r="K93" s="59">
        <f t="shared" si="68"/>
        <v>64150.3</v>
      </c>
      <c r="L93" s="59">
        <f t="shared" si="68"/>
        <v>208261</v>
      </c>
      <c r="M93" s="59">
        <f t="shared" si="68"/>
        <v>0</v>
      </c>
      <c r="N93" s="59">
        <f t="shared" si="68"/>
        <v>726158.1</v>
      </c>
      <c r="O93" s="59">
        <f t="shared" si="68"/>
        <v>130244</v>
      </c>
      <c r="P93" s="59">
        <f t="shared" si="68"/>
        <v>595914.1</v>
      </c>
      <c r="Q93" s="59">
        <f t="shared" si="68"/>
        <v>0</v>
      </c>
      <c r="R93" s="59">
        <f t="shared" si="68"/>
        <v>204524.2</v>
      </c>
      <c r="S93" s="59">
        <f t="shared" si="68"/>
        <v>186569.3</v>
      </c>
      <c r="T93" s="59">
        <f t="shared" si="68"/>
        <v>17954.900000000001</v>
      </c>
      <c r="U93" s="59">
        <f t="shared" si="68"/>
        <v>0</v>
      </c>
      <c r="V93" s="60">
        <f t="shared" si="51"/>
        <v>0.95299999999999996</v>
      </c>
    </row>
    <row r="94" spans="1:22" ht="18.75">
      <c r="A94" s="47"/>
      <c r="B94" s="28" t="s">
        <v>16</v>
      </c>
      <c r="C94" s="29"/>
      <c r="D94" s="29"/>
      <c r="E94" s="2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60"/>
    </row>
    <row r="95" spans="1:22" ht="74.25" customHeight="1">
      <c r="A95" s="47"/>
      <c r="B95" s="32" t="s">
        <v>70</v>
      </c>
      <c r="C95" s="29">
        <v>815</v>
      </c>
      <c r="D95" s="31" t="s">
        <v>66</v>
      </c>
      <c r="E95" s="42" t="s">
        <v>252</v>
      </c>
      <c r="F95" s="59">
        <f t="shared" ref="F95:F100" si="69">G95+H95+I95</f>
        <v>198469.2</v>
      </c>
      <c r="G95" s="61">
        <f>6370.9-101.92+101.92</f>
        <v>6370.9</v>
      </c>
      <c r="H95" s="61">
        <f>205991.4-3295.45+3295.45-13893.08</f>
        <v>192098.3</v>
      </c>
      <c r="I95" s="61"/>
      <c r="J95" s="59">
        <f t="shared" ref="J95:J100" si="70">K95+L95+M95</f>
        <v>186217.7</v>
      </c>
      <c r="K95" s="61">
        <f>126.5+488.49+344.53+95.13+522+1249.37+1494.58+327.99+17.16+655.24+265.51</f>
        <v>5586.5</v>
      </c>
      <c r="L95" s="61">
        <f>34101.57+16877.91+40396.41+48324.62+10605.03+554.82+21186.17+8584.68</f>
        <v>180631.2</v>
      </c>
      <c r="M95" s="61"/>
      <c r="N95" s="59">
        <f t="shared" ref="N95:N100" si="71">O95+P95+Q95</f>
        <v>550109.6</v>
      </c>
      <c r="O95" s="61">
        <v>16503.3</v>
      </c>
      <c r="P95" s="61">
        <v>533606.30000000005</v>
      </c>
      <c r="Q95" s="61"/>
      <c r="R95" s="59">
        <f t="shared" ref="R95:R100" si="72">S95+T95+U95</f>
        <v>0</v>
      </c>
      <c r="S95" s="61"/>
      <c r="T95" s="61"/>
      <c r="U95" s="61"/>
      <c r="V95" s="62">
        <f t="shared" si="51"/>
        <v>0.93799999999999994</v>
      </c>
    </row>
    <row r="96" spans="1:22" ht="65.25" customHeight="1">
      <c r="A96" s="47"/>
      <c r="B96" s="32" t="s">
        <v>72</v>
      </c>
      <c r="C96" s="29">
        <v>815</v>
      </c>
      <c r="D96" s="31" t="s">
        <v>66</v>
      </c>
      <c r="E96" s="42" t="s">
        <v>341</v>
      </c>
      <c r="F96" s="59">
        <f t="shared" si="69"/>
        <v>1009.2</v>
      </c>
      <c r="G96" s="61">
        <f>54060-53050.8</f>
        <v>1009.2</v>
      </c>
      <c r="H96" s="61"/>
      <c r="I96" s="61"/>
      <c r="J96" s="59">
        <f t="shared" si="70"/>
        <v>113.3</v>
      </c>
      <c r="K96" s="61">
        <f>68.8+6.66+37.88</f>
        <v>113.3</v>
      </c>
      <c r="L96" s="61"/>
      <c r="M96" s="61"/>
      <c r="N96" s="59">
        <f t="shared" si="71"/>
        <v>3225</v>
      </c>
      <c r="O96" s="61">
        <f>111813.7-108588.7</f>
        <v>3225</v>
      </c>
      <c r="P96" s="61"/>
      <c r="Q96" s="61"/>
      <c r="R96" s="59">
        <f t="shared" si="72"/>
        <v>3043.6</v>
      </c>
      <c r="S96" s="61">
        <f>186014-182970.4</f>
        <v>3043.6</v>
      </c>
      <c r="T96" s="61"/>
      <c r="U96" s="61"/>
      <c r="V96" s="62">
        <f t="shared" si="51"/>
        <v>0.112</v>
      </c>
    </row>
    <row r="97" spans="1:22" ht="77.25" customHeight="1">
      <c r="A97" s="47"/>
      <c r="B97" s="32" t="s">
        <v>70</v>
      </c>
      <c r="C97" s="29">
        <v>816</v>
      </c>
      <c r="D97" s="31" t="s">
        <v>71</v>
      </c>
      <c r="E97" s="42" t="s">
        <v>252</v>
      </c>
      <c r="F97" s="59">
        <f t="shared" si="69"/>
        <v>15814.2</v>
      </c>
      <c r="G97" s="61">
        <v>474.4</v>
      </c>
      <c r="H97" s="61">
        <v>15339.8</v>
      </c>
      <c r="I97" s="61"/>
      <c r="J97" s="59">
        <f t="shared" si="70"/>
        <v>15735.6</v>
      </c>
      <c r="K97" s="61">
        <f>4+468.08</f>
        <v>472.1</v>
      </c>
      <c r="L97" s="61">
        <f>128.8+15134.72</f>
        <v>15263.5</v>
      </c>
      <c r="M97" s="61"/>
      <c r="N97" s="59">
        <f t="shared" si="71"/>
        <v>51854.6</v>
      </c>
      <c r="O97" s="61">
        <v>1555.6</v>
      </c>
      <c r="P97" s="61">
        <v>50299</v>
      </c>
      <c r="Q97" s="61"/>
      <c r="R97" s="59">
        <f t="shared" si="72"/>
        <v>0</v>
      </c>
      <c r="S97" s="61"/>
      <c r="T97" s="61"/>
      <c r="U97" s="61"/>
      <c r="V97" s="62">
        <f t="shared" si="51"/>
        <v>0.995</v>
      </c>
    </row>
    <row r="98" spans="1:22" ht="33">
      <c r="A98" s="47"/>
      <c r="B98" s="32" t="s">
        <v>253</v>
      </c>
      <c r="C98" s="29">
        <v>815</v>
      </c>
      <c r="D98" s="31" t="s">
        <v>66</v>
      </c>
      <c r="E98" s="42" t="s">
        <v>254</v>
      </c>
      <c r="F98" s="59">
        <f t="shared" si="69"/>
        <v>12764.2</v>
      </c>
      <c r="G98" s="61">
        <v>397.9</v>
      </c>
      <c r="H98" s="61">
        <f>12866.9-500.64</f>
        <v>12366.3</v>
      </c>
      <c r="I98" s="61"/>
      <c r="J98" s="59">
        <f t="shared" si="70"/>
        <v>12748.8</v>
      </c>
      <c r="K98" s="61">
        <f>128.7+234.08+19.73</f>
        <v>382.5</v>
      </c>
      <c r="L98" s="61">
        <f>4159.9+7568.54+637.84</f>
        <v>12366.3</v>
      </c>
      <c r="M98" s="61"/>
      <c r="N98" s="59">
        <f t="shared" si="71"/>
        <v>12380.2</v>
      </c>
      <c r="O98" s="61">
        <v>371.4</v>
      </c>
      <c r="P98" s="61">
        <v>12008.8</v>
      </c>
      <c r="Q98" s="61"/>
      <c r="R98" s="59">
        <f t="shared" si="72"/>
        <v>18510.2</v>
      </c>
      <c r="S98" s="61">
        <v>555.29999999999995</v>
      </c>
      <c r="T98" s="61">
        <v>17954.900000000001</v>
      </c>
      <c r="U98" s="61"/>
      <c r="V98" s="62">
        <f t="shared" si="51"/>
        <v>0.999</v>
      </c>
    </row>
    <row r="99" spans="1:22" ht="74.25" customHeight="1">
      <c r="A99" s="47"/>
      <c r="B99" s="32" t="s">
        <v>396</v>
      </c>
      <c r="C99" s="29">
        <v>815</v>
      </c>
      <c r="D99" s="31" t="s">
        <v>66</v>
      </c>
      <c r="E99" s="37" t="s">
        <v>397</v>
      </c>
      <c r="F99" s="59">
        <f t="shared" si="69"/>
        <v>53050.8</v>
      </c>
      <c r="G99" s="61">
        <v>53050.8</v>
      </c>
      <c r="H99" s="61"/>
      <c r="I99" s="61"/>
      <c r="J99" s="59">
        <f t="shared" si="70"/>
        <v>53050.8</v>
      </c>
      <c r="K99" s="61">
        <f>20669.4+25970+6411.4</f>
        <v>53050.8</v>
      </c>
      <c r="L99" s="61"/>
      <c r="M99" s="61"/>
      <c r="N99" s="59">
        <f t="shared" si="71"/>
        <v>108588.7</v>
      </c>
      <c r="O99" s="61">
        <v>108588.7</v>
      </c>
      <c r="P99" s="61"/>
      <c r="Q99" s="61"/>
      <c r="R99" s="59">
        <f t="shared" si="72"/>
        <v>182970.4</v>
      </c>
      <c r="S99" s="61">
        <v>182970.4</v>
      </c>
      <c r="T99" s="61"/>
      <c r="U99" s="61"/>
      <c r="V99" s="62">
        <f t="shared" si="51"/>
        <v>1</v>
      </c>
    </row>
    <row r="100" spans="1:22" ht="74.25" customHeight="1">
      <c r="A100" s="47"/>
      <c r="B100" s="32" t="s">
        <v>73</v>
      </c>
      <c r="C100" s="29">
        <v>816</v>
      </c>
      <c r="D100" s="31" t="s">
        <v>71</v>
      </c>
      <c r="E100" s="42" t="s">
        <v>359</v>
      </c>
      <c r="F100" s="59">
        <f t="shared" si="69"/>
        <v>4590</v>
      </c>
      <c r="G100" s="61">
        <v>4590</v>
      </c>
      <c r="H100" s="61"/>
      <c r="I100" s="61"/>
      <c r="J100" s="59">
        <f t="shared" si="70"/>
        <v>4545.1000000000004</v>
      </c>
      <c r="K100" s="61">
        <f>10+90.51+680+178.29+173.85+183.75+692+30.82+1231.19+1274.66</f>
        <v>4545.1000000000004</v>
      </c>
      <c r="L100" s="61"/>
      <c r="M100" s="61"/>
      <c r="N100" s="59">
        <f t="shared" si="71"/>
        <v>0</v>
      </c>
      <c r="O100" s="61"/>
      <c r="P100" s="61"/>
      <c r="Q100" s="61"/>
      <c r="R100" s="59">
        <f t="shared" si="72"/>
        <v>0</v>
      </c>
      <c r="S100" s="61"/>
      <c r="T100" s="61"/>
      <c r="U100" s="61"/>
      <c r="V100" s="62">
        <f t="shared" si="51"/>
        <v>0.99</v>
      </c>
    </row>
    <row r="101" spans="1:22" ht="33">
      <c r="A101" s="44" t="s">
        <v>74</v>
      </c>
      <c r="B101" s="15" t="s">
        <v>75</v>
      </c>
      <c r="C101" s="6" t="s">
        <v>13</v>
      </c>
      <c r="D101" s="6" t="s">
        <v>13</v>
      </c>
      <c r="E101" s="6" t="s">
        <v>13</v>
      </c>
      <c r="F101" s="63">
        <f t="shared" ref="F101:U101" si="73">SUM(F103:F111)</f>
        <v>91732.800000000003</v>
      </c>
      <c r="G101" s="63">
        <f t="shared" si="73"/>
        <v>35586.699999999997</v>
      </c>
      <c r="H101" s="63">
        <f t="shared" si="73"/>
        <v>56133.3</v>
      </c>
      <c r="I101" s="63">
        <f t="shared" si="73"/>
        <v>12.8</v>
      </c>
      <c r="J101" s="63">
        <f t="shared" si="73"/>
        <v>76276.5</v>
      </c>
      <c r="K101" s="63">
        <f t="shared" si="73"/>
        <v>27921.5</v>
      </c>
      <c r="L101" s="63">
        <f t="shared" si="73"/>
        <v>48352.2</v>
      </c>
      <c r="M101" s="63">
        <f t="shared" si="73"/>
        <v>2.8</v>
      </c>
      <c r="N101" s="63">
        <f t="shared" si="73"/>
        <v>119471.2</v>
      </c>
      <c r="O101" s="63">
        <f t="shared" si="73"/>
        <v>20996.9</v>
      </c>
      <c r="P101" s="63">
        <f t="shared" si="73"/>
        <v>98474.3</v>
      </c>
      <c r="Q101" s="63">
        <f t="shared" si="73"/>
        <v>0</v>
      </c>
      <c r="R101" s="63">
        <f t="shared" si="73"/>
        <v>32279.7</v>
      </c>
      <c r="S101" s="63">
        <f t="shared" si="73"/>
        <v>18202</v>
      </c>
      <c r="T101" s="63">
        <f t="shared" si="73"/>
        <v>14077.7</v>
      </c>
      <c r="U101" s="63">
        <f t="shared" si="73"/>
        <v>0</v>
      </c>
      <c r="V101" s="66">
        <f t="shared" si="51"/>
        <v>0.83199999999999996</v>
      </c>
    </row>
    <row r="102" spans="1:22" ht="18.75">
      <c r="A102" s="47"/>
      <c r="B102" s="28" t="s">
        <v>16</v>
      </c>
      <c r="C102" s="29"/>
      <c r="D102" s="29"/>
      <c r="E102" s="2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60"/>
    </row>
    <row r="103" spans="1:22" ht="143.25" customHeight="1">
      <c r="A103" s="47"/>
      <c r="B103" s="32" t="s">
        <v>390</v>
      </c>
      <c r="C103" s="29">
        <v>815</v>
      </c>
      <c r="D103" s="31" t="s">
        <v>66</v>
      </c>
      <c r="E103" s="29" t="s">
        <v>389</v>
      </c>
      <c r="F103" s="59">
        <f t="shared" ref="F103:F111" si="74">G103+H103+I103</f>
        <v>5020.5</v>
      </c>
      <c r="G103" s="59">
        <v>5020.5</v>
      </c>
      <c r="H103" s="59"/>
      <c r="I103" s="59"/>
      <c r="J103" s="59">
        <f t="shared" ref="J103:J111" si="75">K103+L103+M103</f>
        <v>5020.5</v>
      </c>
      <c r="K103" s="59">
        <v>5020.5</v>
      </c>
      <c r="L103" s="59"/>
      <c r="M103" s="59"/>
      <c r="N103" s="59">
        <f>O103+P103+Q103</f>
        <v>0</v>
      </c>
      <c r="O103" s="59"/>
      <c r="P103" s="59"/>
      <c r="Q103" s="59"/>
      <c r="R103" s="59">
        <f t="shared" ref="R103:R111" si="76">S103+T103+U103</f>
        <v>0</v>
      </c>
      <c r="S103" s="59"/>
      <c r="T103" s="59"/>
      <c r="U103" s="59"/>
      <c r="V103" s="60">
        <f t="shared" si="51"/>
        <v>1</v>
      </c>
    </row>
    <row r="104" spans="1:22" ht="75" customHeight="1">
      <c r="A104" s="47"/>
      <c r="B104" s="32" t="s">
        <v>246</v>
      </c>
      <c r="C104" s="29">
        <v>821</v>
      </c>
      <c r="D104" s="31" t="s">
        <v>20</v>
      </c>
      <c r="E104" s="42" t="s">
        <v>247</v>
      </c>
      <c r="F104" s="59">
        <f t="shared" si="74"/>
        <v>12809.4</v>
      </c>
      <c r="G104" s="61">
        <v>2175.4</v>
      </c>
      <c r="H104" s="61">
        <v>10621.2</v>
      </c>
      <c r="I104" s="61">
        <v>12.8</v>
      </c>
      <c r="J104" s="59">
        <f t="shared" si="75"/>
        <v>3536.2</v>
      </c>
      <c r="K104" s="61">
        <f>210.9+262.46+127.35</f>
        <v>600.70000000000005</v>
      </c>
      <c r="L104" s="61">
        <f>1029.5+1281.43+621.75</f>
        <v>2932.7</v>
      </c>
      <c r="M104" s="61">
        <v>2.8</v>
      </c>
      <c r="N104" s="59">
        <f t="shared" ref="N104:N111" si="77">O104+P104+Q104</f>
        <v>12796.6</v>
      </c>
      <c r="O104" s="61">
        <v>2175.4</v>
      </c>
      <c r="P104" s="61">
        <v>10621.2</v>
      </c>
      <c r="Q104" s="61"/>
      <c r="R104" s="59">
        <f t="shared" si="76"/>
        <v>16181.3</v>
      </c>
      <c r="S104" s="61">
        <v>2103.6</v>
      </c>
      <c r="T104" s="61">
        <v>14077.7</v>
      </c>
      <c r="U104" s="61"/>
      <c r="V104" s="62">
        <f t="shared" si="51"/>
        <v>0.27600000000000002</v>
      </c>
    </row>
    <row r="105" spans="1:22" ht="75" customHeight="1">
      <c r="A105" s="47"/>
      <c r="B105" s="32" t="s">
        <v>251</v>
      </c>
      <c r="C105" s="29">
        <v>815</v>
      </c>
      <c r="D105" s="31" t="s">
        <v>66</v>
      </c>
      <c r="E105" s="42" t="s">
        <v>250</v>
      </c>
      <c r="F105" s="59">
        <f t="shared" si="74"/>
        <v>31296.1</v>
      </c>
      <c r="G105" s="61">
        <f>782.2+1310.3+117.4</f>
        <v>2209.9</v>
      </c>
      <c r="H105" s="61">
        <f>25290.2+3796</f>
        <v>29086.2</v>
      </c>
      <c r="I105" s="61"/>
      <c r="J105" s="59">
        <f t="shared" si="75"/>
        <v>30872.2</v>
      </c>
      <c r="K105" s="61">
        <f>1408.73+10.38+0.31+19+195.27+14.9+22.29+52+8+147.7</f>
        <v>1878.6</v>
      </c>
      <c r="L105" s="61">
        <v>28993.599999999999</v>
      </c>
      <c r="M105" s="61"/>
      <c r="N105" s="59">
        <f t="shared" si="77"/>
        <v>90570.2</v>
      </c>
      <c r="O105" s="61">
        <f>2712.2+4.86</f>
        <v>2717.1</v>
      </c>
      <c r="P105" s="61">
        <f>87696+157.14</f>
        <v>87853.1</v>
      </c>
      <c r="Q105" s="61"/>
      <c r="R105" s="59">
        <f t="shared" si="76"/>
        <v>0</v>
      </c>
      <c r="S105" s="61"/>
      <c r="T105" s="61"/>
      <c r="U105" s="61"/>
      <c r="V105" s="62">
        <f t="shared" si="51"/>
        <v>0.98599999999999999</v>
      </c>
    </row>
    <row r="106" spans="1:22" ht="33">
      <c r="A106" s="47"/>
      <c r="B106" s="32" t="s">
        <v>76</v>
      </c>
      <c r="C106" s="29">
        <v>815</v>
      </c>
      <c r="D106" s="31" t="s">
        <v>66</v>
      </c>
      <c r="E106" s="42" t="s">
        <v>349</v>
      </c>
      <c r="F106" s="59">
        <f t="shared" si="74"/>
        <v>70.2</v>
      </c>
      <c r="G106" s="61">
        <f>10000-9929.84</f>
        <v>70.2</v>
      </c>
      <c r="H106" s="61"/>
      <c r="I106" s="61"/>
      <c r="J106" s="59">
        <f t="shared" si="75"/>
        <v>70.2</v>
      </c>
      <c r="K106" s="61">
        <v>70.2</v>
      </c>
      <c r="L106" s="61"/>
      <c r="M106" s="61"/>
      <c r="N106" s="59">
        <f t="shared" si="77"/>
        <v>0</v>
      </c>
      <c r="O106" s="61"/>
      <c r="P106" s="61"/>
      <c r="Q106" s="61"/>
      <c r="R106" s="59">
        <f t="shared" si="76"/>
        <v>0</v>
      </c>
      <c r="S106" s="61"/>
      <c r="T106" s="61"/>
      <c r="U106" s="61"/>
      <c r="V106" s="62">
        <f t="shared" si="51"/>
        <v>1</v>
      </c>
    </row>
    <row r="107" spans="1:22" ht="66">
      <c r="A107" s="47"/>
      <c r="B107" s="32" t="s">
        <v>77</v>
      </c>
      <c r="C107" s="29">
        <v>815</v>
      </c>
      <c r="D107" s="31" t="s">
        <v>66</v>
      </c>
      <c r="E107" s="37" t="s">
        <v>350</v>
      </c>
      <c r="F107" s="59">
        <f t="shared" si="74"/>
        <v>4115.3</v>
      </c>
      <c r="G107" s="61">
        <f>19936.3-15821</f>
        <v>4115.3</v>
      </c>
      <c r="H107" s="61"/>
      <c r="I107" s="61"/>
      <c r="J107" s="59">
        <f t="shared" si="75"/>
        <v>3836.6</v>
      </c>
      <c r="K107" s="61">
        <f>1275.24+703.79+86.9+274.89+50.55+367.11+67.24+501.37+198.47+3+308.07</f>
        <v>3836.6</v>
      </c>
      <c r="L107" s="61"/>
      <c r="M107" s="61"/>
      <c r="N107" s="59">
        <f t="shared" si="77"/>
        <v>0</v>
      </c>
      <c r="O107" s="61"/>
      <c r="P107" s="61"/>
      <c r="Q107" s="61"/>
      <c r="R107" s="59">
        <f t="shared" si="76"/>
        <v>0</v>
      </c>
      <c r="S107" s="61"/>
      <c r="T107" s="61"/>
      <c r="U107" s="61"/>
      <c r="V107" s="62">
        <f t="shared" si="51"/>
        <v>0.93200000000000005</v>
      </c>
    </row>
    <row r="108" spans="1:22" ht="33">
      <c r="A108" s="47"/>
      <c r="B108" s="32" t="s">
        <v>78</v>
      </c>
      <c r="C108" s="29">
        <v>815</v>
      </c>
      <c r="D108" s="31" t="s">
        <v>66</v>
      </c>
      <c r="E108" s="37" t="s">
        <v>391</v>
      </c>
      <c r="F108" s="59">
        <f t="shared" si="74"/>
        <v>12000</v>
      </c>
      <c r="G108" s="61">
        <v>12000</v>
      </c>
      <c r="H108" s="61"/>
      <c r="I108" s="61"/>
      <c r="J108" s="59">
        <f t="shared" si="75"/>
        <v>10301</v>
      </c>
      <c r="K108" s="61">
        <f>6056.8+1784.86+937.69+1521.69</f>
        <v>10301</v>
      </c>
      <c r="L108" s="61"/>
      <c r="M108" s="61"/>
      <c r="N108" s="59">
        <f t="shared" si="77"/>
        <v>0</v>
      </c>
      <c r="O108" s="61"/>
      <c r="P108" s="61"/>
      <c r="Q108" s="61"/>
      <c r="R108" s="59">
        <f t="shared" si="76"/>
        <v>0</v>
      </c>
      <c r="S108" s="61"/>
      <c r="T108" s="61"/>
      <c r="U108" s="61"/>
      <c r="V108" s="62">
        <f t="shared" si="51"/>
        <v>0.85799999999999998</v>
      </c>
    </row>
    <row r="109" spans="1:22" ht="66">
      <c r="A109" s="47"/>
      <c r="B109" s="32" t="s">
        <v>392</v>
      </c>
      <c r="C109" s="29">
        <v>815</v>
      </c>
      <c r="D109" s="31" t="s">
        <v>66</v>
      </c>
      <c r="E109" s="37" t="s">
        <v>393</v>
      </c>
      <c r="F109" s="59">
        <f t="shared" si="74"/>
        <v>1910</v>
      </c>
      <c r="G109" s="61">
        <v>1910</v>
      </c>
      <c r="H109" s="61"/>
      <c r="I109" s="61"/>
      <c r="J109" s="59">
        <f t="shared" si="75"/>
        <v>1910</v>
      </c>
      <c r="K109" s="61">
        <f>130+1780</f>
        <v>1910</v>
      </c>
      <c r="L109" s="61"/>
      <c r="M109" s="61"/>
      <c r="N109" s="59">
        <f>O109+P109+Q109</f>
        <v>0</v>
      </c>
      <c r="O109" s="61"/>
      <c r="P109" s="61"/>
      <c r="Q109" s="61"/>
      <c r="R109" s="59">
        <f t="shared" si="76"/>
        <v>0</v>
      </c>
      <c r="S109" s="61"/>
      <c r="T109" s="61"/>
      <c r="U109" s="61"/>
      <c r="V109" s="62">
        <f t="shared" si="51"/>
        <v>1</v>
      </c>
    </row>
    <row r="110" spans="1:22" ht="49.5">
      <c r="A110" s="47"/>
      <c r="B110" s="32" t="s">
        <v>348</v>
      </c>
      <c r="C110" s="29">
        <v>815</v>
      </c>
      <c r="D110" s="31" t="s">
        <v>66</v>
      </c>
      <c r="E110" s="37" t="s">
        <v>347</v>
      </c>
      <c r="F110" s="59">
        <f t="shared" si="74"/>
        <v>0</v>
      </c>
      <c r="G110" s="61">
        <f>5020.5-5020.5</f>
        <v>0</v>
      </c>
      <c r="H110" s="61"/>
      <c r="I110" s="61"/>
      <c r="J110" s="59">
        <f t="shared" si="75"/>
        <v>0</v>
      </c>
      <c r="K110" s="61"/>
      <c r="L110" s="61"/>
      <c r="M110" s="61"/>
      <c r="N110" s="59">
        <f t="shared" si="77"/>
        <v>0</v>
      </c>
      <c r="O110" s="61"/>
      <c r="P110" s="61"/>
      <c r="Q110" s="61"/>
      <c r="R110" s="59">
        <f t="shared" si="76"/>
        <v>0</v>
      </c>
      <c r="S110" s="61"/>
      <c r="T110" s="61"/>
      <c r="U110" s="61"/>
      <c r="V110" s="62"/>
    </row>
    <row r="111" spans="1:22" ht="33">
      <c r="A111" s="47"/>
      <c r="B111" s="32" t="s">
        <v>249</v>
      </c>
      <c r="C111" s="29">
        <v>815</v>
      </c>
      <c r="D111" s="31" t="s">
        <v>66</v>
      </c>
      <c r="E111" s="37" t="s">
        <v>248</v>
      </c>
      <c r="F111" s="59">
        <f t="shared" si="74"/>
        <v>24511.3</v>
      </c>
      <c r="G111" s="61">
        <f>15662.4-7577</f>
        <v>8085.4</v>
      </c>
      <c r="H111" s="61">
        <v>16425.900000000001</v>
      </c>
      <c r="I111" s="61"/>
      <c r="J111" s="59">
        <f t="shared" si="75"/>
        <v>20729.8</v>
      </c>
      <c r="K111" s="61">
        <f>2757.3+1546.58</f>
        <v>4303.8999999999996</v>
      </c>
      <c r="L111" s="61">
        <f>4927.8+11498.1</f>
        <v>16425.900000000001</v>
      </c>
      <c r="M111" s="61"/>
      <c r="N111" s="59">
        <f t="shared" si="77"/>
        <v>16104.4</v>
      </c>
      <c r="O111" s="61">
        <v>16104.4</v>
      </c>
      <c r="P111" s="61"/>
      <c r="Q111" s="61"/>
      <c r="R111" s="59">
        <f t="shared" si="76"/>
        <v>16098.4</v>
      </c>
      <c r="S111" s="61">
        <v>16098.4</v>
      </c>
      <c r="T111" s="61"/>
      <c r="U111" s="61"/>
      <c r="V111" s="62">
        <f t="shared" si="51"/>
        <v>0.84599999999999997</v>
      </c>
    </row>
    <row r="112" spans="1:22" ht="66">
      <c r="A112" s="44" t="s">
        <v>79</v>
      </c>
      <c r="B112" s="15" t="s">
        <v>80</v>
      </c>
      <c r="C112" s="6" t="s">
        <v>13</v>
      </c>
      <c r="D112" s="6" t="s">
        <v>13</v>
      </c>
      <c r="E112" s="6" t="s">
        <v>13</v>
      </c>
      <c r="F112" s="63">
        <f>SUM(F114:F119)</f>
        <v>73452.800000000003</v>
      </c>
      <c r="G112" s="59">
        <f>SUM(G114:G119)</f>
        <v>73452.800000000003</v>
      </c>
      <c r="H112" s="59">
        <f t="shared" ref="H112" si="78">SUM(H114:H119)</f>
        <v>0</v>
      </c>
      <c r="I112" s="59">
        <f t="shared" ref="I112:U112" si="79">SUM(I114:I119)</f>
        <v>0</v>
      </c>
      <c r="J112" s="63">
        <f t="shared" si="79"/>
        <v>55573.4</v>
      </c>
      <c r="K112" s="59">
        <f t="shared" si="79"/>
        <v>55573.4</v>
      </c>
      <c r="L112" s="59">
        <f t="shared" si="79"/>
        <v>0</v>
      </c>
      <c r="M112" s="59">
        <f t="shared" si="79"/>
        <v>0</v>
      </c>
      <c r="N112" s="63">
        <f t="shared" si="79"/>
        <v>67320</v>
      </c>
      <c r="O112" s="59">
        <f t="shared" si="79"/>
        <v>67320</v>
      </c>
      <c r="P112" s="59">
        <f t="shared" si="79"/>
        <v>0</v>
      </c>
      <c r="Q112" s="59">
        <f t="shared" si="79"/>
        <v>0</v>
      </c>
      <c r="R112" s="63">
        <f t="shared" si="79"/>
        <v>67320</v>
      </c>
      <c r="S112" s="59">
        <f t="shared" si="79"/>
        <v>67320</v>
      </c>
      <c r="T112" s="59">
        <f t="shared" si="79"/>
        <v>0</v>
      </c>
      <c r="U112" s="59">
        <f t="shared" si="79"/>
        <v>0</v>
      </c>
      <c r="V112" s="60">
        <f t="shared" si="51"/>
        <v>0.75700000000000001</v>
      </c>
    </row>
    <row r="113" spans="1:22" ht="18.75">
      <c r="A113" s="45"/>
      <c r="B113" s="16" t="s">
        <v>16</v>
      </c>
      <c r="C113" s="7"/>
      <c r="D113" s="7"/>
      <c r="E113" s="7"/>
      <c r="F113" s="63"/>
      <c r="G113" s="59"/>
      <c r="H113" s="59"/>
      <c r="I113" s="59"/>
      <c r="J113" s="63"/>
      <c r="K113" s="59"/>
      <c r="L113" s="59"/>
      <c r="M113" s="59"/>
      <c r="N113" s="63"/>
      <c r="O113" s="59"/>
      <c r="P113" s="59"/>
      <c r="Q113" s="59"/>
      <c r="R113" s="63"/>
      <c r="S113" s="59"/>
      <c r="T113" s="59"/>
      <c r="U113" s="59"/>
      <c r="V113" s="60"/>
    </row>
    <row r="114" spans="1:22" ht="82.5">
      <c r="A114" s="47"/>
      <c r="B114" s="32" t="s">
        <v>353</v>
      </c>
      <c r="C114" s="29">
        <v>816</v>
      </c>
      <c r="D114" s="31" t="s">
        <v>71</v>
      </c>
      <c r="E114" s="29" t="s">
        <v>352</v>
      </c>
      <c r="F114" s="59">
        <f t="shared" ref="F114:F119" si="80">G114+H114+I114</f>
        <v>16630</v>
      </c>
      <c r="G114" s="61">
        <v>16630</v>
      </c>
      <c r="H114" s="61"/>
      <c r="I114" s="61"/>
      <c r="J114" s="59">
        <f t="shared" ref="J114:J119" si="81">K114+L114+M114</f>
        <v>5334</v>
      </c>
      <c r="K114" s="61">
        <f>78.1+60+1539.17+1378+54.05+218.64+485.76+496.68+21.12+1002.49</f>
        <v>5334</v>
      </c>
      <c r="L114" s="61"/>
      <c r="M114" s="61"/>
      <c r="N114" s="59">
        <f t="shared" ref="N114:N119" si="82">O114+P114+Q114</f>
        <v>22180</v>
      </c>
      <c r="O114" s="61">
        <v>22180</v>
      </c>
      <c r="P114" s="61"/>
      <c r="Q114" s="61"/>
      <c r="R114" s="59">
        <f t="shared" ref="R114:R119" si="83">S114+T114+U114</f>
        <v>22180</v>
      </c>
      <c r="S114" s="61">
        <v>22180</v>
      </c>
      <c r="T114" s="61"/>
      <c r="U114" s="61"/>
      <c r="V114" s="62">
        <f t="shared" si="51"/>
        <v>0.32100000000000001</v>
      </c>
    </row>
    <row r="115" spans="1:22" ht="33">
      <c r="A115" s="47"/>
      <c r="B115" s="32" t="s">
        <v>82</v>
      </c>
      <c r="C115" s="29">
        <v>816</v>
      </c>
      <c r="D115" s="31" t="s">
        <v>71</v>
      </c>
      <c r="E115" s="42" t="s">
        <v>360</v>
      </c>
      <c r="F115" s="59">
        <f t="shared" si="80"/>
        <v>43882.8</v>
      </c>
      <c r="G115" s="61">
        <f>45240-1357.2</f>
        <v>43882.8</v>
      </c>
      <c r="H115" s="61"/>
      <c r="I115" s="61"/>
      <c r="J115" s="59">
        <f t="shared" si="81"/>
        <v>38600</v>
      </c>
      <c r="K115" s="61">
        <f>5600+3800+3800+3800+3600+3600+3600+3600+3600+3600</f>
        <v>38600</v>
      </c>
      <c r="L115" s="61"/>
      <c r="M115" s="61"/>
      <c r="N115" s="59">
        <f t="shared" si="82"/>
        <v>33000</v>
      </c>
      <c r="O115" s="61">
        <v>33000</v>
      </c>
      <c r="P115" s="61"/>
      <c r="Q115" s="61"/>
      <c r="R115" s="59">
        <f t="shared" si="83"/>
        <v>33000</v>
      </c>
      <c r="S115" s="61">
        <v>33000</v>
      </c>
      <c r="T115" s="61"/>
      <c r="U115" s="61"/>
      <c r="V115" s="62">
        <f t="shared" si="51"/>
        <v>0.88</v>
      </c>
    </row>
    <row r="116" spans="1:22" ht="66">
      <c r="A116" s="47"/>
      <c r="B116" s="32" t="s">
        <v>81</v>
      </c>
      <c r="C116" s="29">
        <v>816</v>
      </c>
      <c r="D116" s="31" t="s">
        <v>71</v>
      </c>
      <c r="E116" s="42" t="s">
        <v>354</v>
      </c>
      <c r="F116" s="59">
        <f t="shared" si="80"/>
        <v>1450</v>
      </c>
      <c r="G116" s="61">
        <v>1450</v>
      </c>
      <c r="H116" s="61"/>
      <c r="I116" s="61"/>
      <c r="J116" s="59">
        <f t="shared" si="81"/>
        <v>976.8</v>
      </c>
      <c r="K116" s="61">
        <f>173.5+803.25</f>
        <v>976.8</v>
      </c>
      <c r="L116" s="61"/>
      <c r="M116" s="61"/>
      <c r="N116" s="59">
        <f t="shared" si="82"/>
        <v>0</v>
      </c>
      <c r="O116" s="61"/>
      <c r="P116" s="61"/>
      <c r="Q116" s="61"/>
      <c r="R116" s="59">
        <f t="shared" si="83"/>
        <v>0</v>
      </c>
      <c r="S116" s="61"/>
      <c r="T116" s="61"/>
      <c r="U116" s="61"/>
      <c r="V116" s="62">
        <f t="shared" si="51"/>
        <v>0.67400000000000004</v>
      </c>
    </row>
    <row r="117" spans="1:22" ht="66">
      <c r="A117" s="47"/>
      <c r="B117" s="32" t="s">
        <v>83</v>
      </c>
      <c r="C117" s="29">
        <v>816</v>
      </c>
      <c r="D117" s="31" t="s">
        <v>71</v>
      </c>
      <c r="E117" s="42" t="s">
        <v>355</v>
      </c>
      <c r="F117" s="59">
        <f t="shared" si="80"/>
        <v>5620</v>
      </c>
      <c r="G117" s="61">
        <v>5620</v>
      </c>
      <c r="H117" s="61"/>
      <c r="I117" s="61"/>
      <c r="J117" s="59">
        <f t="shared" si="81"/>
        <v>4843.6000000000004</v>
      </c>
      <c r="K117" s="61">
        <f>318.1+2141.65+2107.78+267.03+9</f>
        <v>4843.6000000000004</v>
      </c>
      <c r="L117" s="61"/>
      <c r="M117" s="61"/>
      <c r="N117" s="59">
        <f t="shared" si="82"/>
        <v>5620</v>
      </c>
      <c r="O117" s="61">
        <v>5620</v>
      </c>
      <c r="P117" s="61"/>
      <c r="Q117" s="61"/>
      <c r="R117" s="59">
        <f t="shared" si="83"/>
        <v>5620</v>
      </c>
      <c r="S117" s="61">
        <v>5620</v>
      </c>
      <c r="T117" s="61"/>
      <c r="U117" s="61"/>
      <c r="V117" s="62">
        <f t="shared" si="51"/>
        <v>0.86199999999999999</v>
      </c>
    </row>
    <row r="118" spans="1:22" ht="82.5">
      <c r="A118" s="47"/>
      <c r="B118" s="32" t="s">
        <v>84</v>
      </c>
      <c r="C118" s="29">
        <v>816</v>
      </c>
      <c r="D118" s="31" t="s">
        <v>71</v>
      </c>
      <c r="E118" s="42" t="s">
        <v>351</v>
      </c>
      <c r="F118" s="59">
        <f t="shared" si="80"/>
        <v>20</v>
      </c>
      <c r="G118" s="61">
        <v>20</v>
      </c>
      <c r="H118" s="61"/>
      <c r="I118" s="61"/>
      <c r="J118" s="59">
        <f t="shared" si="81"/>
        <v>20</v>
      </c>
      <c r="K118" s="61">
        <v>20</v>
      </c>
      <c r="L118" s="61"/>
      <c r="M118" s="61"/>
      <c r="N118" s="59">
        <f t="shared" si="82"/>
        <v>20</v>
      </c>
      <c r="O118" s="61">
        <v>20</v>
      </c>
      <c r="P118" s="61"/>
      <c r="Q118" s="61"/>
      <c r="R118" s="59">
        <f t="shared" si="83"/>
        <v>20</v>
      </c>
      <c r="S118" s="61">
        <v>20</v>
      </c>
      <c r="T118" s="61"/>
      <c r="U118" s="61"/>
      <c r="V118" s="62">
        <f t="shared" si="51"/>
        <v>1</v>
      </c>
    </row>
    <row r="119" spans="1:22" ht="66">
      <c r="A119" s="47"/>
      <c r="B119" s="32" t="s">
        <v>85</v>
      </c>
      <c r="C119" s="29">
        <v>816</v>
      </c>
      <c r="D119" s="31" t="s">
        <v>71</v>
      </c>
      <c r="E119" s="42" t="s">
        <v>356</v>
      </c>
      <c r="F119" s="59">
        <f t="shared" si="80"/>
        <v>5850</v>
      </c>
      <c r="G119" s="61">
        <v>5850</v>
      </c>
      <c r="H119" s="61"/>
      <c r="I119" s="61"/>
      <c r="J119" s="59">
        <f t="shared" si="81"/>
        <v>5799</v>
      </c>
      <c r="K119" s="61">
        <f>151.8+1816.9+83.88+52.81+27.66+128.2+27.3+270+892.69+987.29+61.56+30.78+1268.12</f>
        <v>5799</v>
      </c>
      <c r="L119" s="61"/>
      <c r="M119" s="61"/>
      <c r="N119" s="59">
        <f t="shared" si="82"/>
        <v>6500</v>
      </c>
      <c r="O119" s="61">
        <v>6500</v>
      </c>
      <c r="P119" s="61"/>
      <c r="Q119" s="61"/>
      <c r="R119" s="59">
        <f t="shared" si="83"/>
        <v>6500</v>
      </c>
      <c r="S119" s="61">
        <v>6500</v>
      </c>
      <c r="T119" s="61"/>
      <c r="U119" s="61"/>
      <c r="V119" s="62">
        <f t="shared" si="51"/>
        <v>0.99099999999999999</v>
      </c>
    </row>
    <row r="120" spans="1:22" s="50" customFormat="1" ht="33">
      <c r="A120" s="41" t="s">
        <v>86</v>
      </c>
      <c r="B120" s="26" t="s">
        <v>87</v>
      </c>
      <c r="C120" s="27" t="s">
        <v>13</v>
      </c>
      <c r="D120" s="27" t="s">
        <v>13</v>
      </c>
      <c r="E120" s="27" t="s">
        <v>13</v>
      </c>
      <c r="F120" s="59">
        <f t="shared" ref="F120:U120" si="84">F122</f>
        <v>850</v>
      </c>
      <c r="G120" s="59">
        <f t="shared" si="84"/>
        <v>850</v>
      </c>
      <c r="H120" s="59">
        <f t="shared" ref="H120" si="85">H122</f>
        <v>0</v>
      </c>
      <c r="I120" s="59">
        <f t="shared" si="84"/>
        <v>0</v>
      </c>
      <c r="J120" s="59">
        <f t="shared" si="84"/>
        <v>773.9</v>
      </c>
      <c r="K120" s="59">
        <f t="shared" si="84"/>
        <v>773.9</v>
      </c>
      <c r="L120" s="59">
        <f t="shared" si="84"/>
        <v>0</v>
      </c>
      <c r="M120" s="59">
        <f t="shared" si="84"/>
        <v>0</v>
      </c>
      <c r="N120" s="59">
        <f t="shared" si="84"/>
        <v>0</v>
      </c>
      <c r="O120" s="59">
        <f t="shared" si="84"/>
        <v>0</v>
      </c>
      <c r="P120" s="59">
        <f t="shared" si="84"/>
        <v>0</v>
      </c>
      <c r="Q120" s="59">
        <f t="shared" si="84"/>
        <v>0</v>
      </c>
      <c r="R120" s="59">
        <f t="shared" si="84"/>
        <v>0</v>
      </c>
      <c r="S120" s="59">
        <f t="shared" si="84"/>
        <v>0</v>
      </c>
      <c r="T120" s="59">
        <f t="shared" si="84"/>
        <v>0</v>
      </c>
      <c r="U120" s="59">
        <f t="shared" si="84"/>
        <v>0</v>
      </c>
      <c r="V120" s="60">
        <f t="shared" si="51"/>
        <v>0.91</v>
      </c>
    </row>
    <row r="121" spans="1:22" ht="18.75">
      <c r="A121" s="44"/>
      <c r="B121" s="18" t="s">
        <v>16</v>
      </c>
      <c r="C121" s="6"/>
      <c r="D121" s="6"/>
      <c r="E121" s="6"/>
      <c r="F121" s="63"/>
      <c r="G121" s="59"/>
      <c r="H121" s="59"/>
      <c r="I121" s="59"/>
      <c r="J121" s="63"/>
      <c r="K121" s="59"/>
      <c r="L121" s="59"/>
      <c r="M121" s="59"/>
      <c r="N121" s="63"/>
      <c r="O121" s="59"/>
      <c r="P121" s="59"/>
      <c r="Q121" s="59"/>
      <c r="R121" s="63"/>
      <c r="S121" s="59"/>
      <c r="T121" s="59"/>
      <c r="U121" s="59"/>
      <c r="V121" s="60"/>
    </row>
    <row r="122" spans="1:22" ht="49.5">
      <c r="A122" s="45"/>
      <c r="B122" s="17" t="s">
        <v>88</v>
      </c>
      <c r="C122" s="7">
        <v>815</v>
      </c>
      <c r="D122" s="8" t="s">
        <v>66</v>
      </c>
      <c r="E122" s="10" t="s">
        <v>343</v>
      </c>
      <c r="F122" s="63">
        <f>G122+H122+I122</f>
        <v>850</v>
      </c>
      <c r="G122" s="61">
        <f>1700-850</f>
        <v>850</v>
      </c>
      <c r="H122" s="61"/>
      <c r="I122" s="61"/>
      <c r="J122" s="63">
        <f>K122+L122+M122</f>
        <v>773.9</v>
      </c>
      <c r="K122" s="61">
        <f>4.1+60+172.32+32.79+31.05+473.66</f>
        <v>773.9</v>
      </c>
      <c r="L122" s="61"/>
      <c r="M122" s="61"/>
      <c r="N122" s="63">
        <f t="shared" ref="N122" si="86">O122+P122+Q122</f>
        <v>0</v>
      </c>
      <c r="O122" s="61"/>
      <c r="P122" s="61"/>
      <c r="Q122" s="61"/>
      <c r="R122" s="63">
        <f>S122+T122+U122</f>
        <v>0</v>
      </c>
      <c r="S122" s="61"/>
      <c r="T122" s="61"/>
      <c r="U122" s="61"/>
      <c r="V122" s="62">
        <f t="shared" si="51"/>
        <v>0.91</v>
      </c>
    </row>
    <row r="123" spans="1:22" s="50" customFormat="1" ht="33">
      <c r="A123" s="41" t="s">
        <v>173</v>
      </c>
      <c r="B123" s="26" t="s">
        <v>174</v>
      </c>
      <c r="C123" s="27" t="s">
        <v>13</v>
      </c>
      <c r="D123" s="27" t="s">
        <v>13</v>
      </c>
      <c r="E123" s="27" t="s">
        <v>13</v>
      </c>
      <c r="F123" s="59">
        <f t="shared" ref="F123:U123" si="87">SUM(F125)</f>
        <v>100</v>
      </c>
      <c r="G123" s="59">
        <f t="shared" si="87"/>
        <v>100</v>
      </c>
      <c r="H123" s="59">
        <f t="shared" ref="H123" si="88">SUM(H125)</f>
        <v>0</v>
      </c>
      <c r="I123" s="59">
        <f t="shared" si="87"/>
        <v>0</v>
      </c>
      <c r="J123" s="59">
        <f t="shared" si="87"/>
        <v>100</v>
      </c>
      <c r="K123" s="59">
        <f t="shared" si="87"/>
        <v>100</v>
      </c>
      <c r="L123" s="59">
        <f t="shared" si="87"/>
        <v>0</v>
      </c>
      <c r="M123" s="59">
        <f t="shared" si="87"/>
        <v>0</v>
      </c>
      <c r="N123" s="59">
        <f t="shared" si="87"/>
        <v>0</v>
      </c>
      <c r="O123" s="59">
        <f t="shared" si="87"/>
        <v>0</v>
      </c>
      <c r="P123" s="59">
        <f t="shared" si="87"/>
        <v>0</v>
      </c>
      <c r="Q123" s="59">
        <f t="shared" si="87"/>
        <v>0</v>
      </c>
      <c r="R123" s="59">
        <f t="shared" si="87"/>
        <v>0</v>
      </c>
      <c r="S123" s="59">
        <f t="shared" si="87"/>
        <v>0</v>
      </c>
      <c r="T123" s="59">
        <f t="shared" si="87"/>
        <v>0</v>
      </c>
      <c r="U123" s="59">
        <f t="shared" si="87"/>
        <v>0</v>
      </c>
      <c r="V123" s="60">
        <f t="shared" si="51"/>
        <v>1</v>
      </c>
    </row>
    <row r="124" spans="1:22" ht="18.75">
      <c r="A124" s="44"/>
      <c r="B124" s="18" t="s">
        <v>16</v>
      </c>
      <c r="C124" s="6"/>
      <c r="D124" s="6"/>
      <c r="E124" s="6"/>
      <c r="F124" s="63"/>
      <c r="G124" s="59"/>
      <c r="H124" s="59"/>
      <c r="I124" s="59"/>
      <c r="J124" s="63"/>
      <c r="K124" s="59"/>
      <c r="L124" s="59"/>
      <c r="M124" s="59"/>
      <c r="N124" s="63"/>
      <c r="O124" s="59"/>
      <c r="P124" s="59"/>
      <c r="Q124" s="59"/>
      <c r="R124" s="63"/>
      <c r="S124" s="59"/>
      <c r="T124" s="59"/>
      <c r="U124" s="59"/>
      <c r="V124" s="60"/>
    </row>
    <row r="125" spans="1:22" ht="82.5">
      <c r="A125" s="45"/>
      <c r="B125" s="17" t="s">
        <v>175</v>
      </c>
      <c r="C125" s="7">
        <v>815</v>
      </c>
      <c r="D125" s="8" t="s">
        <v>66</v>
      </c>
      <c r="E125" s="10" t="s">
        <v>342</v>
      </c>
      <c r="F125" s="63">
        <f>G125+H125+I125</f>
        <v>100</v>
      </c>
      <c r="G125" s="61">
        <v>100</v>
      </c>
      <c r="H125" s="61"/>
      <c r="I125" s="61"/>
      <c r="J125" s="63">
        <f>K125+L125+M125</f>
        <v>100</v>
      </c>
      <c r="K125" s="61">
        <v>100</v>
      </c>
      <c r="L125" s="61"/>
      <c r="M125" s="61"/>
      <c r="N125" s="63">
        <f t="shared" ref="N125" si="89">O125+P125+Q125</f>
        <v>0</v>
      </c>
      <c r="O125" s="61"/>
      <c r="P125" s="61"/>
      <c r="Q125" s="61"/>
      <c r="R125" s="63">
        <f>S125+T125+U125</f>
        <v>0</v>
      </c>
      <c r="S125" s="61"/>
      <c r="T125" s="61"/>
      <c r="U125" s="61"/>
      <c r="V125" s="62">
        <f t="shared" ref="V125:V180" si="90">J125/F125</f>
        <v>1</v>
      </c>
    </row>
    <row r="126" spans="1:22" ht="33">
      <c r="A126" s="44" t="s">
        <v>231</v>
      </c>
      <c r="B126" s="15" t="s">
        <v>230</v>
      </c>
      <c r="C126" s="6" t="s">
        <v>13</v>
      </c>
      <c r="D126" s="6" t="s">
        <v>13</v>
      </c>
      <c r="E126" s="6" t="s">
        <v>13</v>
      </c>
      <c r="F126" s="63">
        <f t="shared" ref="F126:U126" si="91">SUM(F128)</f>
        <v>8559.9</v>
      </c>
      <c r="G126" s="59">
        <f t="shared" si="91"/>
        <v>576.79999999999995</v>
      </c>
      <c r="H126" s="59">
        <f t="shared" ref="H126" si="92">SUM(H128)</f>
        <v>7983.1</v>
      </c>
      <c r="I126" s="59">
        <f t="shared" si="91"/>
        <v>0</v>
      </c>
      <c r="J126" s="63">
        <f t="shared" si="91"/>
        <v>8304.1</v>
      </c>
      <c r="K126" s="59">
        <f t="shared" si="91"/>
        <v>559.5</v>
      </c>
      <c r="L126" s="59">
        <f t="shared" si="91"/>
        <v>7744.6</v>
      </c>
      <c r="M126" s="59">
        <f t="shared" si="91"/>
        <v>0</v>
      </c>
      <c r="N126" s="63">
        <f t="shared" si="91"/>
        <v>0</v>
      </c>
      <c r="O126" s="59">
        <f t="shared" si="91"/>
        <v>0</v>
      </c>
      <c r="P126" s="59">
        <f t="shared" si="91"/>
        <v>0</v>
      </c>
      <c r="Q126" s="59">
        <f t="shared" si="91"/>
        <v>0</v>
      </c>
      <c r="R126" s="63">
        <f t="shared" si="91"/>
        <v>0</v>
      </c>
      <c r="S126" s="59">
        <f t="shared" si="91"/>
        <v>0</v>
      </c>
      <c r="T126" s="59">
        <f t="shared" si="91"/>
        <v>0</v>
      </c>
      <c r="U126" s="59">
        <f t="shared" si="91"/>
        <v>0</v>
      </c>
      <c r="V126" s="60">
        <f t="shared" si="90"/>
        <v>0.97</v>
      </c>
    </row>
    <row r="127" spans="1:22" ht="18.75">
      <c r="A127" s="44"/>
      <c r="B127" s="18" t="s">
        <v>16</v>
      </c>
      <c r="C127" s="6"/>
      <c r="D127" s="6"/>
      <c r="E127" s="6"/>
      <c r="F127" s="63"/>
      <c r="G127" s="59"/>
      <c r="H127" s="59"/>
      <c r="I127" s="59"/>
      <c r="J127" s="63"/>
      <c r="K127" s="59"/>
      <c r="L127" s="59"/>
      <c r="M127" s="59"/>
      <c r="N127" s="63"/>
      <c r="O127" s="59"/>
      <c r="P127" s="59"/>
      <c r="Q127" s="59"/>
      <c r="R127" s="63"/>
      <c r="S127" s="59"/>
      <c r="T127" s="59"/>
      <c r="U127" s="59"/>
      <c r="V127" s="60"/>
    </row>
    <row r="128" spans="1:22" ht="49.5">
      <c r="A128" s="44"/>
      <c r="B128" s="17" t="s">
        <v>232</v>
      </c>
      <c r="C128" s="7">
        <v>813</v>
      </c>
      <c r="D128" s="8" t="s">
        <v>26</v>
      </c>
      <c r="E128" s="7" t="s">
        <v>233</v>
      </c>
      <c r="F128" s="63">
        <f>G128+H128+I128</f>
        <v>8559.9</v>
      </c>
      <c r="G128" s="61">
        <f>246.9+329.9</f>
        <v>576.79999999999995</v>
      </c>
      <c r="H128" s="61">
        <v>7983.1</v>
      </c>
      <c r="I128" s="61"/>
      <c r="J128" s="63">
        <f>K128+L128+M128</f>
        <v>8304.1</v>
      </c>
      <c r="K128" s="61">
        <f>53.1+17.24+27.37+57.5+404.32</f>
        <v>559.5</v>
      </c>
      <c r="L128" s="61">
        <f>1717.9+557.5+884.92+1859.23+2725.01</f>
        <v>7744.6</v>
      </c>
      <c r="M128" s="61"/>
      <c r="N128" s="63">
        <f t="shared" ref="N128" si="93">O128+P128+Q128</f>
        <v>0</v>
      </c>
      <c r="O128" s="61"/>
      <c r="P128" s="61"/>
      <c r="Q128" s="61"/>
      <c r="R128" s="63">
        <f>S128+T128+U128</f>
        <v>0</v>
      </c>
      <c r="S128" s="61"/>
      <c r="T128" s="61"/>
      <c r="U128" s="61"/>
      <c r="V128" s="62">
        <f t="shared" si="90"/>
        <v>0.97</v>
      </c>
    </row>
    <row r="129" spans="1:22" ht="18.75">
      <c r="A129" s="46" t="s">
        <v>89</v>
      </c>
      <c r="B129" s="22" t="s">
        <v>90</v>
      </c>
      <c r="C129" s="1" t="s">
        <v>13</v>
      </c>
      <c r="D129" s="1" t="s">
        <v>13</v>
      </c>
      <c r="E129" s="1" t="s">
        <v>13</v>
      </c>
      <c r="F129" s="57">
        <f>F130+F135+F138+F143</f>
        <v>62070.3</v>
      </c>
      <c r="G129" s="57">
        <f t="shared" ref="G129:U129" si="94">G130+G135+G138+G143</f>
        <v>55269.9</v>
      </c>
      <c r="H129" s="57">
        <f t="shared" si="94"/>
        <v>6800.4</v>
      </c>
      <c r="I129" s="57">
        <f t="shared" si="94"/>
        <v>0</v>
      </c>
      <c r="J129" s="57">
        <f t="shared" si="94"/>
        <v>35326.199999999997</v>
      </c>
      <c r="K129" s="57">
        <f t="shared" si="94"/>
        <v>35326.199999999997</v>
      </c>
      <c r="L129" s="57">
        <f t="shared" si="94"/>
        <v>0</v>
      </c>
      <c r="M129" s="57">
        <f t="shared" si="94"/>
        <v>0</v>
      </c>
      <c r="N129" s="57">
        <f t="shared" si="94"/>
        <v>29377.7</v>
      </c>
      <c r="O129" s="57">
        <f t="shared" si="94"/>
        <v>25196.799999999999</v>
      </c>
      <c r="P129" s="57">
        <f t="shared" si="94"/>
        <v>4180.8999999999996</v>
      </c>
      <c r="Q129" s="57">
        <f t="shared" si="94"/>
        <v>0</v>
      </c>
      <c r="R129" s="57">
        <f t="shared" si="94"/>
        <v>24945</v>
      </c>
      <c r="S129" s="57">
        <f t="shared" si="94"/>
        <v>24945</v>
      </c>
      <c r="T129" s="57">
        <f t="shared" si="94"/>
        <v>0</v>
      </c>
      <c r="U129" s="57">
        <f t="shared" si="94"/>
        <v>0</v>
      </c>
      <c r="V129" s="58">
        <f t="shared" si="90"/>
        <v>0.56899999999999995</v>
      </c>
    </row>
    <row r="130" spans="1:22" ht="33">
      <c r="A130" s="44" t="s">
        <v>91</v>
      </c>
      <c r="B130" s="15" t="s">
        <v>92</v>
      </c>
      <c r="C130" s="6" t="s">
        <v>13</v>
      </c>
      <c r="D130" s="6" t="s">
        <v>13</v>
      </c>
      <c r="E130" s="6" t="s">
        <v>13</v>
      </c>
      <c r="F130" s="63">
        <f t="shared" ref="F130:U130" si="95">SUM(F132:F134)</f>
        <v>1393.6</v>
      </c>
      <c r="G130" s="59">
        <f t="shared" si="95"/>
        <v>1393.6</v>
      </c>
      <c r="H130" s="59">
        <f t="shared" si="95"/>
        <v>0</v>
      </c>
      <c r="I130" s="59">
        <f t="shared" si="95"/>
        <v>0</v>
      </c>
      <c r="J130" s="63">
        <f t="shared" si="95"/>
        <v>1393.6</v>
      </c>
      <c r="K130" s="59">
        <f t="shared" si="95"/>
        <v>1393.6</v>
      </c>
      <c r="L130" s="59">
        <f t="shared" si="95"/>
        <v>0</v>
      </c>
      <c r="M130" s="59">
        <f t="shared" si="95"/>
        <v>0</v>
      </c>
      <c r="N130" s="63">
        <f t="shared" si="95"/>
        <v>122.5</v>
      </c>
      <c r="O130" s="59">
        <f t="shared" si="95"/>
        <v>122.5</v>
      </c>
      <c r="P130" s="59">
        <f t="shared" si="95"/>
        <v>0</v>
      </c>
      <c r="Q130" s="59">
        <f t="shared" si="95"/>
        <v>0</v>
      </c>
      <c r="R130" s="63">
        <f t="shared" si="95"/>
        <v>0</v>
      </c>
      <c r="S130" s="59">
        <f t="shared" si="95"/>
        <v>0</v>
      </c>
      <c r="T130" s="59">
        <f t="shared" si="95"/>
        <v>0</v>
      </c>
      <c r="U130" s="59">
        <f t="shared" si="95"/>
        <v>0</v>
      </c>
      <c r="V130" s="60">
        <f t="shared" si="90"/>
        <v>1</v>
      </c>
    </row>
    <row r="131" spans="1:22" ht="18.75">
      <c r="A131" s="41"/>
      <c r="B131" s="30" t="s">
        <v>16</v>
      </c>
      <c r="C131" s="27"/>
      <c r="D131" s="27"/>
      <c r="E131" s="27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60"/>
    </row>
    <row r="132" spans="1:22" ht="74.25" customHeight="1">
      <c r="A132" s="47"/>
      <c r="B132" s="32" t="s">
        <v>168</v>
      </c>
      <c r="C132" s="29">
        <v>815</v>
      </c>
      <c r="D132" s="31" t="s">
        <v>66</v>
      </c>
      <c r="E132" s="42" t="s">
        <v>423</v>
      </c>
      <c r="F132" s="59">
        <f t="shared" ref="F132:F134" si="96">G132+H132+I132</f>
        <v>1026.3</v>
      </c>
      <c r="G132" s="61">
        <v>1026.3</v>
      </c>
      <c r="H132" s="61"/>
      <c r="I132" s="61"/>
      <c r="J132" s="59">
        <f t="shared" ref="J132:J134" si="97">K132+L132+M132</f>
        <v>1026.3</v>
      </c>
      <c r="K132" s="61">
        <f>78.9+947.37</f>
        <v>1026.3</v>
      </c>
      <c r="L132" s="61"/>
      <c r="M132" s="61"/>
      <c r="N132" s="59">
        <f t="shared" ref="N132:N134" si="98">O132+P132+Q132</f>
        <v>0</v>
      </c>
      <c r="O132" s="61"/>
      <c r="P132" s="61"/>
      <c r="Q132" s="61"/>
      <c r="R132" s="59">
        <f t="shared" ref="R132:R134" si="99">S132+T132+U132</f>
        <v>0</v>
      </c>
      <c r="S132" s="61"/>
      <c r="T132" s="61"/>
      <c r="U132" s="61"/>
      <c r="V132" s="62">
        <f t="shared" si="90"/>
        <v>1</v>
      </c>
    </row>
    <row r="133" spans="1:22" ht="82.5">
      <c r="A133" s="47"/>
      <c r="B133" s="32" t="s">
        <v>169</v>
      </c>
      <c r="C133" s="29">
        <v>815</v>
      </c>
      <c r="D133" s="31" t="s">
        <v>66</v>
      </c>
      <c r="E133" s="42" t="s">
        <v>424</v>
      </c>
      <c r="F133" s="59">
        <f t="shared" si="96"/>
        <v>122.4</v>
      </c>
      <c r="G133" s="61">
        <v>122.4</v>
      </c>
      <c r="H133" s="61"/>
      <c r="I133" s="61"/>
      <c r="J133" s="59">
        <f t="shared" si="97"/>
        <v>122.4</v>
      </c>
      <c r="K133" s="61">
        <f>61.2+61.22</f>
        <v>122.4</v>
      </c>
      <c r="L133" s="61"/>
      <c r="M133" s="61"/>
      <c r="N133" s="59">
        <f t="shared" si="98"/>
        <v>0</v>
      </c>
      <c r="O133" s="61"/>
      <c r="P133" s="61"/>
      <c r="Q133" s="61"/>
      <c r="R133" s="59">
        <f t="shared" si="99"/>
        <v>0</v>
      </c>
      <c r="S133" s="61"/>
      <c r="T133" s="61"/>
      <c r="U133" s="61"/>
      <c r="V133" s="62">
        <f t="shared" si="90"/>
        <v>1</v>
      </c>
    </row>
    <row r="134" spans="1:22" ht="141.75" customHeight="1">
      <c r="A134" s="47"/>
      <c r="B134" s="32" t="s">
        <v>425</v>
      </c>
      <c r="C134" s="29">
        <v>815</v>
      </c>
      <c r="D134" s="31" t="s">
        <v>66</v>
      </c>
      <c r="E134" s="42" t="s">
        <v>426</v>
      </c>
      <c r="F134" s="59">
        <f t="shared" si="96"/>
        <v>244.9</v>
      </c>
      <c r="G134" s="61">
        <v>244.9</v>
      </c>
      <c r="H134" s="61"/>
      <c r="I134" s="61"/>
      <c r="J134" s="59">
        <f t="shared" si="97"/>
        <v>244.9</v>
      </c>
      <c r="K134" s="61">
        <v>244.9</v>
      </c>
      <c r="L134" s="61"/>
      <c r="M134" s="61"/>
      <c r="N134" s="59">
        <f t="shared" si="98"/>
        <v>122.5</v>
      </c>
      <c r="O134" s="61">
        <v>122.5</v>
      </c>
      <c r="P134" s="61"/>
      <c r="Q134" s="61"/>
      <c r="R134" s="59">
        <f t="shared" si="99"/>
        <v>0</v>
      </c>
      <c r="S134" s="61"/>
      <c r="T134" s="61"/>
      <c r="U134" s="61"/>
      <c r="V134" s="62">
        <f t="shared" si="90"/>
        <v>1</v>
      </c>
    </row>
    <row r="135" spans="1:22" ht="18.75">
      <c r="A135" s="41" t="s">
        <v>93</v>
      </c>
      <c r="B135" s="26" t="s">
        <v>94</v>
      </c>
      <c r="C135" s="27" t="s">
        <v>13</v>
      </c>
      <c r="D135" s="27" t="s">
        <v>13</v>
      </c>
      <c r="E135" s="27" t="s">
        <v>13</v>
      </c>
      <c r="F135" s="59">
        <f t="shared" ref="F135:U135" si="100">SUM(F137:F137)</f>
        <v>20500</v>
      </c>
      <c r="G135" s="59">
        <f t="shared" si="100"/>
        <v>20500</v>
      </c>
      <c r="H135" s="59">
        <f t="shared" si="100"/>
        <v>0</v>
      </c>
      <c r="I135" s="59">
        <f t="shared" si="100"/>
        <v>0</v>
      </c>
      <c r="J135" s="59">
        <f t="shared" si="100"/>
        <v>10026.1</v>
      </c>
      <c r="K135" s="59">
        <f t="shared" si="100"/>
        <v>10026.1</v>
      </c>
      <c r="L135" s="59">
        <f t="shared" si="100"/>
        <v>0</v>
      </c>
      <c r="M135" s="59">
        <f t="shared" si="100"/>
        <v>0</v>
      </c>
      <c r="N135" s="59">
        <f t="shared" si="100"/>
        <v>0</v>
      </c>
      <c r="O135" s="59">
        <f t="shared" si="100"/>
        <v>0</v>
      </c>
      <c r="P135" s="59">
        <f t="shared" si="100"/>
        <v>0</v>
      </c>
      <c r="Q135" s="59">
        <f t="shared" si="100"/>
        <v>0</v>
      </c>
      <c r="R135" s="59">
        <f t="shared" si="100"/>
        <v>0</v>
      </c>
      <c r="S135" s="59">
        <f t="shared" si="100"/>
        <v>0</v>
      </c>
      <c r="T135" s="59">
        <f t="shared" si="100"/>
        <v>0</v>
      </c>
      <c r="U135" s="59">
        <f t="shared" si="100"/>
        <v>0</v>
      </c>
      <c r="V135" s="60">
        <f t="shared" si="90"/>
        <v>0.48899999999999999</v>
      </c>
    </row>
    <row r="136" spans="1:22" ht="18.75">
      <c r="A136" s="47"/>
      <c r="B136" s="30" t="s">
        <v>16</v>
      </c>
      <c r="C136" s="29"/>
      <c r="D136" s="31"/>
      <c r="E136" s="42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60"/>
    </row>
    <row r="137" spans="1:22" ht="49.5">
      <c r="A137" s="47"/>
      <c r="B137" s="32" t="s">
        <v>95</v>
      </c>
      <c r="C137" s="29">
        <v>840</v>
      </c>
      <c r="D137" s="31" t="s">
        <v>96</v>
      </c>
      <c r="E137" s="42" t="s">
        <v>374</v>
      </c>
      <c r="F137" s="59">
        <f>G137+H137+I137</f>
        <v>20500</v>
      </c>
      <c r="G137" s="61">
        <f>25000-4500</f>
        <v>20500</v>
      </c>
      <c r="H137" s="61"/>
      <c r="I137" s="61"/>
      <c r="J137" s="59">
        <f>K137+L137+M137</f>
        <v>10026.1</v>
      </c>
      <c r="K137" s="61">
        <f>6560.4+1693.3+141.32-206.84-41.48+1976.71-232.29+135</f>
        <v>10026.1</v>
      </c>
      <c r="L137" s="61"/>
      <c r="M137" s="61"/>
      <c r="N137" s="59">
        <f t="shared" ref="N137" si="101">O137+P137+Q137</f>
        <v>0</v>
      </c>
      <c r="O137" s="61"/>
      <c r="P137" s="61"/>
      <c r="Q137" s="61"/>
      <c r="R137" s="59">
        <f>S137+T137+U137</f>
        <v>0</v>
      </c>
      <c r="S137" s="61"/>
      <c r="T137" s="61"/>
      <c r="U137" s="61"/>
      <c r="V137" s="62">
        <f t="shared" si="90"/>
        <v>0.48899999999999999</v>
      </c>
    </row>
    <row r="138" spans="1:22" ht="33">
      <c r="A138" s="41" t="s">
        <v>97</v>
      </c>
      <c r="B138" s="26" t="s">
        <v>98</v>
      </c>
      <c r="C138" s="27" t="s">
        <v>13</v>
      </c>
      <c r="D138" s="27" t="s">
        <v>13</v>
      </c>
      <c r="E138" s="27" t="s">
        <v>13</v>
      </c>
      <c r="F138" s="59">
        <f t="shared" ref="F138:U138" si="102">SUM(F140:F142)</f>
        <v>3300</v>
      </c>
      <c r="G138" s="59">
        <f t="shared" si="102"/>
        <v>3300</v>
      </c>
      <c r="H138" s="59">
        <f t="shared" ref="H138" si="103">SUM(H140:H142)</f>
        <v>0</v>
      </c>
      <c r="I138" s="59">
        <f t="shared" si="102"/>
        <v>0</v>
      </c>
      <c r="J138" s="59">
        <f t="shared" si="102"/>
        <v>3278.8</v>
      </c>
      <c r="K138" s="59">
        <f t="shared" si="102"/>
        <v>3278.8</v>
      </c>
      <c r="L138" s="59">
        <f t="shared" si="102"/>
        <v>0</v>
      </c>
      <c r="M138" s="59">
        <f t="shared" si="102"/>
        <v>0</v>
      </c>
      <c r="N138" s="59">
        <f t="shared" si="102"/>
        <v>5610.2</v>
      </c>
      <c r="O138" s="59">
        <f t="shared" si="102"/>
        <v>1429.3</v>
      </c>
      <c r="P138" s="59">
        <f t="shared" si="102"/>
        <v>4180.8999999999996</v>
      </c>
      <c r="Q138" s="59">
        <f t="shared" si="102"/>
        <v>0</v>
      </c>
      <c r="R138" s="59">
        <f t="shared" si="102"/>
        <v>1300</v>
      </c>
      <c r="S138" s="59">
        <f t="shared" si="102"/>
        <v>1300</v>
      </c>
      <c r="T138" s="59">
        <f t="shared" si="102"/>
        <v>0</v>
      </c>
      <c r="U138" s="59">
        <f t="shared" si="102"/>
        <v>0</v>
      </c>
      <c r="V138" s="60">
        <f t="shared" si="90"/>
        <v>0.99399999999999999</v>
      </c>
    </row>
    <row r="139" spans="1:22" ht="18.75">
      <c r="A139" s="47"/>
      <c r="B139" s="30" t="s">
        <v>16</v>
      </c>
      <c r="C139" s="29"/>
      <c r="D139" s="31"/>
      <c r="E139" s="42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60"/>
    </row>
    <row r="140" spans="1:22" ht="49.5">
      <c r="A140" s="47"/>
      <c r="B140" s="32" t="s">
        <v>301</v>
      </c>
      <c r="C140" s="29">
        <v>804</v>
      </c>
      <c r="D140" s="31" t="s">
        <v>99</v>
      </c>
      <c r="E140" s="37" t="s">
        <v>300</v>
      </c>
      <c r="F140" s="59">
        <f>G140+H140+I140</f>
        <v>1300</v>
      </c>
      <c r="G140" s="61">
        <v>1300</v>
      </c>
      <c r="H140" s="61"/>
      <c r="I140" s="61"/>
      <c r="J140" s="59">
        <f>K140+L140+M140</f>
        <v>1278.8</v>
      </c>
      <c r="K140" s="61">
        <f>1270.1+8.7</f>
        <v>1278.8</v>
      </c>
      <c r="L140" s="61"/>
      <c r="M140" s="61"/>
      <c r="N140" s="59">
        <f t="shared" ref="N140:N142" si="104">O140+P140+Q140</f>
        <v>1300</v>
      </c>
      <c r="O140" s="61">
        <v>1300</v>
      </c>
      <c r="P140" s="61"/>
      <c r="Q140" s="61"/>
      <c r="R140" s="59">
        <f>S140+T140+U140</f>
        <v>1300</v>
      </c>
      <c r="S140" s="61">
        <v>1300</v>
      </c>
      <c r="T140" s="61"/>
      <c r="U140" s="61"/>
      <c r="V140" s="62">
        <f t="shared" si="90"/>
        <v>0.98399999999999999</v>
      </c>
    </row>
    <row r="141" spans="1:22" ht="66">
      <c r="A141" s="47"/>
      <c r="B141" s="32" t="s">
        <v>283</v>
      </c>
      <c r="C141" s="29">
        <v>839</v>
      </c>
      <c r="D141" s="31" t="s">
        <v>17</v>
      </c>
      <c r="E141" s="37" t="s">
        <v>284</v>
      </c>
      <c r="F141" s="59">
        <f>G141+H141+I141</f>
        <v>0</v>
      </c>
      <c r="G141" s="61"/>
      <c r="H141" s="61"/>
      <c r="I141" s="61"/>
      <c r="J141" s="59">
        <f>K141+L141+M141</f>
        <v>0</v>
      </c>
      <c r="K141" s="61"/>
      <c r="L141" s="61"/>
      <c r="M141" s="61"/>
      <c r="N141" s="59">
        <f t="shared" si="104"/>
        <v>4310.2</v>
      </c>
      <c r="O141" s="61">
        <v>129.30000000000001</v>
      </c>
      <c r="P141" s="61">
        <v>4180.8999999999996</v>
      </c>
      <c r="Q141" s="61"/>
      <c r="R141" s="59">
        <f>S141+T141+U141</f>
        <v>0</v>
      </c>
      <c r="S141" s="61"/>
      <c r="T141" s="61"/>
      <c r="U141" s="61"/>
      <c r="V141" s="62"/>
    </row>
    <row r="142" spans="1:22" ht="66">
      <c r="A142" s="47"/>
      <c r="B142" s="32" t="s">
        <v>305</v>
      </c>
      <c r="C142" s="29">
        <v>804</v>
      </c>
      <c r="D142" s="31" t="s">
        <v>99</v>
      </c>
      <c r="E142" s="37" t="s">
        <v>304</v>
      </c>
      <c r="F142" s="59">
        <f>G142+H142+I142</f>
        <v>2000</v>
      </c>
      <c r="G142" s="61">
        <v>2000</v>
      </c>
      <c r="H142" s="61"/>
      <c r="I142" s="61"/>
      <c r="J142" s="59">
        <f>K142+L142+M142</f>
        <v>2000</v>
      </c>
      <c r="K142" s="61">
        <v>2000</v>
      </c>
      <c r="L142" s="61"/>
      <c r="M142" s="61"/>
      <c r="N142" s="59">
        <f t="shared" si="104"/>
        <v>0</v>
      </c>
      <c r="O142" s="61"/>
      <c r="P142" s="61"/>
      <c r="Q142" s="61"/>
      <c r="R142" s="59">
        <f>S142+T142+U142</f>
        <v>0</v>
      </c>
      <c r="S142" s="61"/>
      <c r="T142" s="61"/>
      <c r="U142" s="61"/>
      <c r="V142" s="62">
        <f t="shared" si="90"/>
        <v>1</v>
      </c>
    </row>
    <row r="143" spans="1:22" ht="33">
      <c r="A143" s="44" t="s">
        <v>100</v>
      </c>
      <c r="B143" s="15" t="s">
        <v>101</v>
      </c>
      <c r="C143" s="6" t="s">
        <v>13</v>
      </c>
      <c r="D143" s="6" t="s">
        <v>13</v>
      </c>
      <c r="E143" s="6" t="s">
        <v>13</v>
      </c>
      <c r="F143" s="63">
        <f t="shared" ref="F143:U143" si="105">SUM(F145:F151)</f>
        <v>36876.699999999997</v>
      </c>
      <c r="G143" s="59">
        <f t="shared" si="105"/>
        <v>30076.3</v>
      </c>
      <c r="H143" s="59">
        <f t="shared" ref="H143" si="106">SUM(H145:H151)</f>
        <v>6800.4</v>
      </c>
      <c r="I143" s="59">
        <f t="shared" si="105"/>
        <v>0</v>
      </c>
      <c r="J143" s="63">
        <f t="shared" si="105"/>
        <v>20627.7</v>
      </c>
      <c r="K143" s="59">
        <f t="shared" si="105"/>
        <v>20627.7</v>
      </c>
      <c r="L143" s="59">
        <f t="shared" si="105"/>
        <v>0</v>
      </c>
      <c r="M143" s="59">
        <f t="shared" si="105"/>
        <v>0</v>
      </c>
      <c r="N143" s="63">
        <f t="shared" si="105"/>
        <v>23645</v>
      </c>
      <c r="O143" s="59">
        <f t="shared" si="105"/>
        <v>23645</v>
      </c>
      <c r="P143" s="59">
        <f t="shared" si="105"/>
        <v>0</v>
      </c>
      <c r="Q143" s="59">
        <f t="shared" si="105"/>
        <v>0</v>
      </c>
      <c r="R143" s="63">
        <f t="shared" si="105"/>
        <v>23645</v>
      </c>
      <c r="S143" s="59">
        <f t="shared" si="105"/>
        <v>23645</v>
      </c>
      <c r="T143" s="59">
        <f t="shared" si="105"/>
        <v>0</v>
      </c>
      <c r="U143" s="59">
        <f t="shared" si="105"/>
        <v>0</v>
      </c>
      <c r="V143" s="60">
        <f t="shared" si="90"/>
        <v>0.55900000000000005</v>
      </c>
    </row>
    <row r="144" spans="1:22" ht="18.75">
      <c r="A144" s="45"/>
      <c r="B144" s="18" t="s">
        <v>16</v>
      </c>
      <c r="C144" s="7"/>
      <c r="D144" s="8"/>
      <c r="E144" s="10"/>
      <c r="F144" s="63"/>
      <c r="G144" s="59"/>
      <c r="H144" s="59"/>
      <c r="I144" s="59"/>
      <c r="J144" s="63"/>
      <c r="K144" s="59"/>
      <c r="L144" s="59"/>
      <c r="M144" s="59"/>
      <c r="N144" s="63"/>
      <c r="O144" s="59"/>
      <c r="P144" s="59"/>
      <c r="Q144" s="59"/>
      <c r="R144" s="63"/>
      <c r="S144" s="59"/>
      <c r="T144" s="59"/>
      <c r="U144" s="59"/>
      <c r="V144" s="60"/>
    </row>
    <row r="145" spans="1:22" ht="75.75" customHeight="1">
      <c r="A145" s="47"/>
      <c r="B145" s="32" t="s">
        <v>102</v>
      </c>
      <c r="C145" s="29">
        <v>804</v>
      </c>
      <c r="D145" s="31" t="s">
        <v>99</v>
      </c>
      <c r="E145" s="37" t="s">
        <v>294</v>
      </c>
      <c r="F145" s="59">
        <f t="shared" ref="F145:F151" si="107">G145+H145+I145</f>
        <v>1595</v>
      </c>
      <c r="G145" s="61">
        <f>2600-0.02-1004.98</f>
        <v>1595</v>
      </c>
      <c r="H145" s="61"/>
      <c r="I145" s="61"/>
      <c r="J145" s="59">
        <f t="shared" ref="J145:J151" si="108">K145+L145+M145</f>
        <v>1157.0999999999999</v>
      </c>
      <c r="K145" s="61">
        <f>251.6+525.63+379.9</f>
        <v>1157.0999999999999</v>
      </c>
      <c r="L145" s="61"/>
      <c r="M145" s="61"/>
      <c r="N145" s="59">
        <f t="shared" ref="N145:N151" si="109">O145+P145+Q145</f>
        <v>1600</v>
      </c>
      <c r="O145" s="61">
        <v>1600</v>
      </c>
      <c r="P145" s="61"/>
      <c r="Q145" s="61"/>
      <c r="R145" s="59">
        <f t="shared" ref="R145:R151" si="110">S145+T145+U145</f>
        <v>1600</v>
      </c>
      <c r="S145" s="61">
        <v>1600</v>
      </c>
      <c r="T145" s="61"/>
      <c r="U145" s="61"/>
      <c r="V145" s="62">
        <f t="shared" si="90"/>
        <v>0.72499999999999998</v>
      </c>
    </row>
    <row r="146" spans="1:22" ht="113.25" customHeight="1">
      <c r="A146" s="47"/>
      <c r="B146" s="32" t="s">
        <v>311</v>
      </c>
      <c r="C146" s="29">
        <v>804</v>
      </c>
      <c r="D146" s="31" t="s">
        <v>99</v>
      </c>
      <c r="E146" s="37" t="s">
        <v>310</v>
      </c>
      <c r="F146" s="59">
        <f t="shared" si="107"/>
        <v>9700</v>
      </c>
      <c r="G146" s="61">
        <v>9700</v>
      </c>
      <c r="H146" s="61"/>
      <c r="I146" s="61"/>
      <c r="J146" s="59">
        <f t="shared" si="108"/>
        <v>6685.1</v>
      </c>
      <c r="K146" s="61">
        <f>1179.7+2490.5+3014.86</f>
        <v>6685.1</v>
      </c>
      <c r="L146" s="61"/>
      <c r="M146" s="61"/>
      <c r="N146" s="59">
        <f t="shared" si="109"/>
        <v>9700</v>
      </c>
      <c r="O146" s="61">
        <v>9700</v>
      </c>
      <c r="P146" s="61"/>
      <c r="Q146" s="61"/>
      <c r="R146" s="59">
        <f t="shared" si="110"/>
        <v>9700</v>
      </c>
      <c r="S146" s="61">
        <v>9700</v>
      </c>
      <c r="T146" s="61"/>
      <c r="U146" s="61"/>
      <c r="V146" s="62">
        <f t="shared" si="90"/>
        <v>0.68899999999999995</v>
      </c>
    </row>
    <row r="147" spans="1:22" ht="150" customHeight="1">
      <c r="A147" s="47"/>
      <c r="B147" s="32" t="s">
        <v>103</v>
      </c>
      <c r="C147" s="29">
        <v>804</v>
      </c>
      <c r="D147" s="31" t="s">
        <v>99</v>
      </c>
      <c r="E147" s="37" t="s">
        <v>299</v>
      </c>
      <c r="F147" s="59">
        <f t="shared" si="107"/>
        <v>4475</v>
      </c>
      <c r="G147" s="61">
        <f>7819-3344.04</f>
        <v>4475</v>
      </c>
      <c r="H147" s="61"/>
      <c r="I147" s="61"/>
      <c r="J147" s="59">
        <f t="shared" si="108"/>
        <v>4475</v>
      </c>
      <c r="K147" s="61">
        <v>4475</v>
      </c>
      <c r="L147" s="61"/>
      <c r="M147" s="61"/>
      <c r="N147" s="59">
        <f t="shared" si="109"/>
        <v>7819</v>
      </c>
      <c r="O147" s="61">
        <v>7819</v>
      </c>
      <c r="P147" s="61"/>
      <c r="Q147" s="61"/>
      <c r="R147" s="59">
        <f t="shared" si="110"/>
        <v>7819</v>
      </c>
      <c r="S147" s="61">
        <v>7819</v>
      </c>
      <c r="T147" s="61"/>
      <c r="U147" s="61"/>
      <c r="V147" s="62">
        <f t="shared" si="90"/>
        <v>1</v>
      </c>
    </row>
    <row r="148" spans="1:22" ht="42" customHeight="1">
      <c r="A148" s="47"/>
      <c r="B148" s="32" t="s">
        <v>303</v>
      </c>
      <c r="C148" s="29">
        <v>804</v>
      </c>
      <c r="D148" s="31" t="s">
        <v>99</v>
      </c>
      <c r="E148" s="37" t="s">
        <v>302</v>
      </c>
      <c r="F148" s="59">
        <f t="shared" si="107"/>
        <v>3440</v>
      </c>
      <c r="G148" s="61">
        <v>3440</v>
      </c>
      <c r="H148" s="61"/>
      <c r="I148" s="61"/>
      <c r="J148" s="59">
        <f t="shared" si="108"/>
        <v>3378.5</v>
      </c>
      <c r="K148" s="61">
        <f>3048+138.5+192</f>
        <v>3378.5</v>
      </c>
      <c r="L148" s="61"/>
      <c r="M148" s="61"/>
      <c r="N148" s="59">
        <f t="shared" si="109"/>
        <v>0</v>
      </c>
      <c r="O148" s="61"/>
      <c r="P148" s="61"/>
      <c r="Q148" s="61"/>
      <c r="R148" s="59">
        <f t="shared" si="110"/>
        <v>0</v>
      </c>
      <c r="S148" s="61"/>
      <c r="T148" s="61"/>
      <c r="U148" s="61"/>
      <c r="V148" s="62">
        <f t="shared" si="90"/>
        <v>0.98199999999999998</v>
      </c>
    </row>
    <row r="149" spans="1:22" ht="80.25" customHeight="1">
      <c r="A149" s="47"/>
      <c r="B149" s="32" t="s">
        <v>172</v>
      </c>
      <c r="C149" s="29">
        <v>804</v>
      </c>
      <c r="D149" s="31" t="s">
        <v>99</v>
      </c>
      <c r="E149" s="37" t="s">
        <v>293</v>
      </c>
      <c r="F149" s="59">
        <f t="shared" si="107"/>
        <v>3460</v>
      </c>
      <c r="G149" s="61">
        <f>1630+1830</f>
        <v>3460</v>
      </c>
      <c r="H149" s="61"/>
      <c r="I149" s="61"/>
      <c r="J149" s="59">
        <f t="shared" si="108"/>
        <v>0</v>
      </c>
      <c r="K149" s="61"/>
      <c r="L149" s="61"/>
      <c r="M149" s="61"/>
      <c r="N149" s="59">
        <f t="shared" si="109"/>
        <v>630</v>
      </c>
      <c r="O149" s="61">
        <v>630</v>
      </c>
      <c r="P149" s="61"/>
      <c r="Q149" s="61"/>
      <c r="R149" s="59">
        <f t="shared" si="110"/>
        <v>630</v>
      </c>
      <c r="S149" s="61">
        <v>630</v>
      </c>
      <c r="T149" s="61"/>
      <c r="U149" s="61"/>
      <c r="V149" s="62">
        <f t="shared" si="90"/>
        <v>0</v>
      </c>
    </row>
    <row r="150" spans="1:22" ht="147" customHeight="1">
      <c r="A150" s="47"/>
      <c r="B150" s="32" t="s">
        <v>292</v>
      </c>
      <c r="C150" s="29">
        <v>804</v>
      </c>
      <c r="D150" s="31" t="s">
        <v>99</v>
      </c>
      <c r="E150" s="37" t="s">
        <v>291</v>
      </c>
      <c r="F150" s="59">
        <f t="shared" si="107"/>
        <v>7196</v>
      </c>
      <c r="G150" s="61">
        <v>7196</v>
      </c>
      <c r="H150" s="61"/>
      <c r="I150" s="61"/>
      <c r="J150" s="59">
        <f t="shared" si="108"/>
        <v>4932</v>
      </c>
      <c r="K150" s="61">
        <f>2300.8+2524+15.35+91.8</f>
        <v>4932</v>
      </c>
      <c r="L150" s="61"/>
      <c r="M150" s="61"/>
      <c r="N150" s="59">
        <f t="shared" si="109"/>
        <v>3896</v>
      </c>
      <c r="O150" s="61">
        <v>3896</v>
      </c>
      <c r="P150" s="61"/>
      <c r="Q150" s="61"/>
      <c r="R150" s="59">
        <f t="shared" si="110"/>
        <v>3896</v>
      </c>
      <c r="S150" s="61">
        <v>3896</v>
      </c>
      <c r="T150" s="61"/>
      <c r="U150" s="61"/>
      <c r="V150" s="62">
        <f t="shared" si="90"/>
        <v>0.68500000000000005</v>
      </c>
    </row>
    <row r="151" spans="1:22" ht="66">
      <c r="A151" s="47"/>
      <c r="B151" s="32" t="s">
        <v>286</v>
      </c>
      <c r="C151" s="29">
        <v>804</v>
      </c>
      <c r="D151" s="31" t="s">
        <v>99</v>
      </c>
      <c r="E151" s="37" t="s">
        <v>285</v>
      </c>
      <c r="F151" s="59">
        <f t="shared" si="107"/>
        <v>7010.7</v>
      </c>
      <c r="G151" s="61">
        <f>210.3+0.02</f>
        <v>210.3</v>
      </c>
      <c r="H151" s="61">
        <v>6800.4</v>
      </c>
      <c r="I151" s="61"/>
      <c r="J151" s="59">
        <f t="shared" si="108"/>
        <v>0</v>
      </c>
      <c r="K151" s="61"/>
      <c r="L151" s="61"/>
      <c r="M151" s="61"/>
      <c r="N151" s="59">
        <f t="shared" si="109"/>
        <v>0</v>
      </c>
      <c r="O151" s="61"/>
      <c r="P151" s="61"/>
      <c r="Q151" s="61"/>
      <c r="R151" s="59">
        <f t="shared" si="110"/>
        <v>0</v>
      </c>
      <c r="S151" s="61"/>
      <c r="T151" s="61"/>
      <c r="U151" s="61"/>
      <c r="V151" s="62">
        <f t="shared" si="90"/>
        <v>0</v>
      </c>
    </row>
    <row r="152" spans="1:22" ht="33">
      <c r="A152" s="46" t="s">
        <v>104</v>
      </c>
      <c r="B152" s="22" t="s">
        <v>105</v>
      </c>
      <c r="C152" s="1" t="s">
        <v>13</v>
      </c>
      <c r="D152" s="1" t="s">
        <v>13</v>
      </c>
      <c r="E152" s="1" t="s">
        <v>13</v>
      </c>
      <c r="F152" s="57">
        <f t="shared" ref="F152:U152" si="111">F153+F157</f>
        <v>1249521.7</v>
      </c>
      <c r="G152" s="57">
        <f>G153+G157</f>
        <v>204923.1</v>
      </c>
      <c r="H152" s="57">
        <f t="shared" ref="H152" si="112">H153+H157</f>
        <v>897193.8</v>
      </c>
      <c r="I152" s="57">
        <f>I153+97356.1</f>
        <v>147404.79999999999</v>
      </c>
      <c r="J152" s="57">
        <f t="shared" si="111"/>
        <v>824862.6</v>
      </c>
      <c r="K152" s="57">
        <f t="shared" si="111"/>
        <v>149765.20000000001</v>
      </c>
      <c r="L152" s="57">
        <f t="shared" si="111"/>
        <v>570026.9</v>
      </c>
      <c r="M152" s="57">
        <f>M153+78908.3</f>
        <v>105070.5</v>
      </c>
      <c r="N152" s="57">
        <f t="shared" si="111"/>
        <v>897655.9</v>
      </c>
      <c r="O152" s="57">
        <f t="shared" si="111"/>
        <v>26691.1</v>
      </c>
      <c r="P152" s="57">
        <f t="shared" si="111"/>
        <v>863011</v>
      </c>
      <c r="Q152" s="57">
        <f t="shared" si="111"/>
        <v>7953.8</v>
      </c>
      <c r="R152" s="57">
        <f t="shared" si="111"/>
        <v>415145.5</v>
      </c>
      <c r="S152" s="57">
        <f t="shared" si="111"/>
        <v>12424</v>
      </c>
      <c r="T152" s="57">
        <f t="shared" si="111"/>
        <v>401709.5</v>
      </c>
      <c r="U152" s="57">
        <f t="shared" si="111"/>
        <v>1012</v>
      </c>
      <c r="V152" s="58">
        <f t="shared" si="90"/>
        <v>0.66</v>
      </c>
    </row>
    <row r="153" spans="1:22" ht="33">
      <c r="A153" s="44" t="s">
        <v>106</v>
      </c>
      <c r="B153" s="15" t="s">
        <v>107</v>
      </c>
      <c r="C153" s="6" t="s">
        <v>13</v>
      </c>
      <c r="D153" s="6" t="s">
        <v>13</v>
      </c>
      <c r="E153" s="6" t="s">
        <v>13</v>
      </c>
      <c r="F153" s="63">
        <f>SUM(F155:F156)</f>
        <v>477974.2</v>
      </c>
      <c r="G153" s="59">
        <f t="shared" ref="G153:U153" si="113">SUM(G155:G156)</f>
        <v>15811.6</v>
      </c>
      <c r="H153" s="59">
        <f t="shared" ref="H153" si="114">SUM(H155:H156)</f>
        <v>412113.9</v>
      </c>
      <c r="I153" s="59">
        <f t="shared" si="113"/>
        <v>50048.7</v>
      </c>
      <c r="J153" s="63">
        <f t="shared" si="113"/>
        <v>266387.90000000002</v>
      </c>
      <c r="K153" s="59">
        <f t="shared" si="113"/>
        <v>10180.6</v>
      </c>
      <c r="L153" s="59">
        <f t="shared" si="113"/>
        <v>230045.1</v>
      </c>
      <c r="M153" s="59">
        <f t="shared" si="113"/>
        <v>26162.2</v>
      </c>
      <c r="N153" s="63">
        <f t="shared" si="113"/>
        <v>405167</v>
      </c>
      <c r="O153" s="59">
        <f t="shared" si="113"/>
        <v>11916.4</v>
      </c>
      <c r="P153" s="59">
        <f t="shared" si="113"/>
        <v>385296.8</v>
      </c>
      <c r="Q153" s="59">
        <f t="shared" si="113"/>
        <v>7953.8</v>
      </c>
      <c r="R153" s="63">
        <f t="shared" si="113"/>
        <v>415145.5</v>
      </c>
      <c r="S153" s="59">
        <f t="shared" si="113"/>
        <v>12424</v>
      </c>
      <c r="T153" s="59">
        <f t="shared" si="113"/>
        <v>401709.5</v>
      </c>
      <c r="U153" s="59">
        <f t="shared" si="113"/>
        <v>1012</v>
      </c>
      <c r="V153" s="60">
        <f t="shared" si="90"/>
        <v>0.55700000000000005</v>
      </c>
    </row>
    <row r="154" spans="1:22" ht="18.75">
      <c r="A154" s="45"/>
      <c r="B154" s="16" t="s">
        <v>16</v>
      </c>
      <c r="C154" s="7"/>
      <c r="D154" s="7"/>
      <c r="E154" s="7"/>
      <c r="F154" s="63"/>
      <c r="G154" s="59"/>
      <c r="H154" s="59"/>
      <c r="I154" s="59"/>
      <c r="J154" s="63"/>
      <c r="K154" s="59"/>
      <c r="L154" s="59"/>
      <c r="M154" s="59"/>
      <c r="N154" s="63"/>
      <c r="O154" s="59"/>
      <c r="P154" s="59"/>
      <c r="Q154" s="59"/>
      <c r="R154" s="63"/>
      <c r="S154" s="59"/>
      <c r="T154" s="59"/>
      <c r="U154" s="59"/>
      <c r="V154" s="60"/>
    </row>
    <row r="155" spans="1:22" ht="33">
      <c r="A155" s="45"/>
      <c r="B155" s="17" t="s">
        <v>108</v>
      </c>
      <c r="C155" s="7">
        <v>821</v>
      </c>
      <c r="D155" s="8" t="s">
        <v>20</v>
      </c>
      <c r="E155" s="7" t="s">
        <v>275</v>
      </c>
      <c r="F155" s="63">
        <f>G155+H155+I155</f>
        <v>444454.2</v>
      </c>
      <c r="G155" s="61">
        <f>91916.4-80000-4.8</f>
        <v>11911.6</v>
      </c>
      <c r="H155" s="61">
        <f>385296.8-155</f>
        <v>385141.8</v>
      </c>
      <c r="I155" s="61">
        <v>47400.800000000003</v>
      </c>
      <c r="J155" s="63">
        <f>K155+L155+M155</f>
        <v>232946.6</v>
      </c>
      <c r="K155" s="61">
        <f>5413.4+159.47+9.47+385.94+312.33</f>
        <v>6280.6</v>
      </c>
      <c r="L155" s="61">
        <f>37115.2+5368+39834.33+12658.71+29421.67+16039.06+11123.9+18422.05+1241.05+3553.01+256.53+5156.03+306.19+12478.71+10098.54</f>
        <v>203073</v>
      </c>
      <c r="M155" s="61">
        <v>23593</v>
      </c>
      <c r="N155" s="63">
        <f t="shared" ref="N155:N156" si="115">O155+P155+Q155</f>
        <v>405167</v>
      </c>
      <c r="O155" s="61">
        <v>11916.4</v>
      </c>
      <c r="P155" s="61">
        <v>385296.8</v>
      </c>
      <c r="Q155" s="61">
        <v>7953.8</v>
      </c>
      <c r="R155" s="63">
        <f>S155+T155+U155</f>
        <v>415145.5</v>
      </c>
      <c r="S155" s="61">
        <v>12424</v>
      </c>
      <c r="T155" s="61">
        <v>401709.5</v>
      </c>
      <c r="U155" s="61">
        <v>1012</v>
      </c>
      <c r="V155" s="62">
        <f t="shared" si="90"/>
        <v>0.52400000000000002</v>
      </c>
    </row>
    <row r="156" spans="1:22" ht="66">
      <c r="A156" s="45"/>
      <c r="B156" s="17" t="s">
        <v>109</v>
      </c>
      <c r="C156" s="7">
        <v>821</v>
      </c>
      <c r="D156" s="8" t="s">
        <v>20</v>
      </c>
      <c r="E156" s="7" t="s">
        <v>367</v>
      </c>
      <c r="F156" s="63">
        <f>G156+H156+I156</f>
        <v>33520</v>
      </c>
      <c r="G156" s="61">
        <v>3900</v>
      </c>
      <c r="H156" s="61">
        <v>26972.1</v>
      </c>
      <c r="I156" s="61">
        <v>2647.9</v>
      </c>
      <c r="J156" s="63">
        <f>K156+L156+M156</f>
        <v>33441.300000000003</v>
      </c>
      <c r="K156" s="61">
        <v>3900</v>
      </c>
      <c r="L156" s="61">
        <v>26972.1</v>
      </c>
      <c r="M156" s="61">
        <v>2569.1999999999998</v>
      </c>
      <c r="N156" s="63">
        <f t="shared" si="115"/>
        <v>0</v>
      </c>
      <c r="O156" s="61"/>
      <c r="P156" s="61"/>
      <c r="Q156" s="61"/>
      <c r="R156" s="63">
        <f>S156+T156+U156</f>
        <v>0</v>
      </c>
      <c r="S156" s="61"/>
      <c r="T156" s="61"/>
      <c r="U156" s="61"/>
      <c r="V156" s="62">
        <f t="shared" si="90"/>
        <v>0.998</v>
      </c>
    </row>
    <row r="157" spans="1:22" ht="49.5">
      <c r="A157" s="44" t="s">
        <v>110</v>
      </c>
      <c r="B157" s="15" t="s">
        <v>111</v>
      </c>
      <c r="C157" s="6" t="s">
        <v>13</v>
      </c>
      <c r="D157" s="6" t="s">
        <v>13</v>
      </c>
      <c r="E157" s="6" t="s">
        <v>13</v>
      </c>
      <c r="F157" s="63">
        <f>G157+H157+97356.1</f>
        <v>771547.5</v>
      </c>
      <c r="G157" s="59">
        <f>SUM(G159:G164)</f>
        <v>189111.5</v>
      </c>
      <c r="H157" s="59">
        <f t="shared" ref="H157" si="116">SUM(H159:H164)</f>
        <v>485079.9</v>
      </c>
      <c r="I157" s="59" t="s">
        <v>459</v>
      </c>
      <c r="J157" s="63">
        <f>K157+L157+78908.3</f>
        <v>558474.69999999995</v>
      </c>
      <c r="K157" s="59">
        <f t="shared" ref="K157:U157" si="117">SUM(K159:K164)</f>
        <v>139584.6</v>
      </c>
      <c r="L157" s="59">
        <f t="shared" si="117"/>
        <v>339981.8</v>
      </c>
      <c r="M157" s="59" t="s">
        <v>460</v>
      </c>
      <c r="N157" s="63">
        <f t="shared" si="117"/>
        <v>492488.9</v>
      </c>
      <c r="O157" s="59">
        <f t="shared" si="117"/>
        <v>14774.7</v>
      </c>
      <c r="P157" s="59">
        <f t="shared" si="117"/>
        <v>477714.2</v>
      </c>
      <c r="Q157" s="59">
        <f t="shared" si="117"/>
        <v>0</v>
      </c>
      <c r="R157" s="63">
        <f t="shared" si="117"/>
        <v>0</v>
      </c>
      <c r="S157" s="59">
        <f t="shared" si="117"/>
        <v>0</v>
      </c>
      <c r="T157" s="59">
        <f t="shared" si="117"/>
        <v>0</v>
      </c>
      <c r="U157" s="59">
        <f t="shared" si="117"/>
        <v>0</v>
      </c>
      <c r="V157" s="60">
        <f t="shared" si="90"/>
        <v>0.72399999999999998</v>
      </c>
    </row>
    <row r="158" spans="1:22" ht="18.75">
      <c r="A158" s="44"/>
      <c r="B158" s="18" t="s">
        <v>16</v>
      </c>
      <c r="C158" s="6"/>
      <c r="D158" s="6"/>
      <c r="E158" s="6"/>
      <c r="F158" s="63"/>
      <c r="G158" s="59"/>
      <c r="H158" s="59"/>
      <c r="I158" s="59"/>
      <c r="J158" s="63"/>
      <c r="K158" s="59"/>
      <c r="L158" s="59"/>
      <c r="M158" s="59"/>
      <c r="N158" s="63"/>
      <c r="O158" s="59"/>
      <c r="P158" s="59"/>
      <c r="Q158" s="59"/>
      <c r="R158" s="63"/>
      <c r="S158" s="59"/>
      <c r="T158" s="59"/>
      <c r="U158" s="59"/>
      <c r="V158" s="60"/>
    </row>
    <row r="159" spans="1:22" ht="66">
      <c r="A159" s="44"/>
      <c r="B159" s="17" t="s">
        <v>170</v>
      </c>
      <c r="C159" s="7">
        <v>821</v>
      </c>
      <c r="D159" s="8" t="s">
        <v>20</v>
      </c>
      <c r="E159" s="7" t="s">
        <v>276</v>
      </c>
      <c r="F159" s="63">
        <f t="shared" ref="F159:F164" si="118">G159+H159+I159</f>
        <v>485079.9</v>
      </c>
      <c r="G159" s="61"/>
      <c r="H159" s="61">
        <f>334399.9+145774.4+4905.61-0.01</f>
        <v>485079.9</v>
      </c>
      <c r="I159" s="61"/>
      <c r="J159" s="63">
        <f t="shared" ref="J159:J164" si="119">K159+L159+M159</f>
        <v>339981.8</v>
      </c>
      <c r="K159" s="61"/>
      <c r="L159" s="61">
        <f>323940.4+1397.54+3850.84+10792.98</f>
        <v>339981.8</v>
      </c>
      <c r="M159" s="61"/>
      <c r="N159" s="63">
        <f t="shared" ref="N159:N164" si="120">O159+P159+Q159</f>
        <v>477714.2</v>
      </c>
      <c r="O159" s="61"/>
      <c r="P159" s="61">
        <v>477714.2</v>
      </c>
      <c r="Q159" s="61"/>
      <c r="R159" s="63">
        <f>S159+T159+U159</f>
        <v>0</v>
      </c>
      <c r="S159" s="61"/>
      <c r="T159" s="61"/>
      <c r="U159" s="61"/>
      <c r="V159" s="62">
        <f t="shared" si="90"/>
        <v>0.70099999999999996</v>
      </c>
    </row>
    <row r="160" spans="1:22" ht="49.5">
      <c r="A160" s="44"/>
      <c r="B160" s="17" t="s">
        <v>412</v>
      </c>
      <c r="C160" s="7">
        <v>821</v>
      </c>
      <c r="D160" s="8" t="s">
        <v>20</v>
      </c>
      <c r="E160" s="7" t="s">
        <v>413</v>
      </c>
      <c r="F160" s="63">
        <f t="shared" si="118"/>
        <v>6868</v>
      </c>
      <c r="G160" s="61">
        <f>58766.5-8564.5-43334.03</f>
        <v>6868</v>
      </c>
      <c r="H160" s="61"/>
      <c r="I160" s="61"/>
      <c r="J160" s="63">
        <f t="shared" si="119"/>
        <v>6603.2</v>
      </c>
      <c r="K160" s="61">
        <f>118+6485.16</f>
        <v>6603.2</v>
      </c>
      <c r="L160" s="61"/>
      <c r="M160" s="61"/>
      <c r="N160" s="63">
        <f t="shared" si="120"/>
        <v>0</v>
      </c>
      <c r="O160" s="61"/>
      <c r="P160" s="61"/>
      <c r="Q160" s="61"/>
      <c r="R160" s="63">
        <f>S160+T160+U160</f>
        <v>0</v>
      </c>
      <c r="S160" s="61"/>
      <c r="T160" s="61"/>
      <c r="U160" s="61"/>
      <c r="V160" s="62">
        <f t="shared" si="90"/>
        <v>0.96099999999999997</v>
      </c>
    </row>
    <row r="161" spans="1:22" ht="49.5">
      <c r="A161" s="44"/>
      <c r="B161" s="17" t="s">
        <v>449</v>
      </c>
      <c r="C161" s="7">
        <v>821</v>
      </c>
      <c r="D161" s="8" t="s">
        <v>20</v>
      </c>
      <c r="E161" s="7" t="s">
        <v>450</v>
      </c>
      <c r="F161" s="63">
        <f t="shared" si="118"/>
        <v>43334</v>
      </c>
      <c r="G161" s="61">
        <v>43334</v>
      </c>
      <c r="H161" s="61"/>
      <c r="I161" s="61"/>
      <c r="J161" s="63">
        <f t="shared" si="119"/>
        <v>8251.7000000000007</v>
      </c>
      <c r="K161" s="61">
        <v>8251.7000000000007</v>
      </c>
      <c r="L161" s="61"/>
      <c r="M161" s="61"/>
      <c r="N161" s="63">
        <f t="shared" si="120"/>
        <v>12932.1</v>
      </c>
      <c r="O161" s="61">
        <v>12932.1</v>
      </c>
      <c r="P161" s="61"/>
      <c r="Q161" s="61"/>
      <c r="R161" s="63">
        <f t="shared" ref="R161:R162" si="121">S161+T161+U161</f>
        <v>0</v>
      </c>
      <c r="S161" s="61"/>
      <c r="T161" s="61"/>
      <c r="U161" s="61"/>
      <c r="V161" s="62">
        <f t="shared" si="90"/>
        <v>0.19</v>
      </c>
    </row>
    <row r="162" spans="1:22" ht="49.5">
      <c r="A162" s="44"/>
      <c r="B162" s="17" t="s">
        <v>441</v>
      </c>
      <c r="C162" s="7">
        <v>821</v>
      </c>
      <c r="D162" s="8" t="s">
        <v>20</v>
      </c>
      <c r="E162" s="7" t="s">
        <v>440</v>
      </c>
      <c r="F162" s="63">
        <f t="shared" si="118"/>
        <v>600</v>
      </c>
      <c r="G162" s="61">
        <v>600</v>
      </c>
      <c r="H162" s="61"/>
      <c r="I162" s="61"/>
      <c r="J162" s="63">
        <f t="shared" si="119"/>
        <v>0</v>
      </c>
      <c r="K162" s="61"/>
      <c r="L162" s="61"/>
      <c r="M162" s="61"/>
      <c r="N162" s="63">
        <f t="shared" si="120"/>
        <v>0</v>
      </c>
      <c r="O162" s="61"/>
      <c r="P162" s="61"/>
      <c r="Q162" s="61"/>
      <c r="R162" s="63">
        <f t="shared" si="121"/>
        <v>0</v>
      </c>
      <c r="S162" s="61"/>
      <c r="T162" s="61"/>
      <c r="U162" s="61"/>
      <c r="V162" s="62">
        <f t="shared" si="90"/>
        <v>0</v>
      </c>
    </row>
    <row r="163" spans="1:22" ht="72" customHeight="1">
      <c r="A163" s="44"/>
      <c r="B163" s="17" t="s">
        <v>414</v>
      </c>
      <c r="C163" s="7">
        <v>821</v>
      </c>
      <c r="D163" s="8" t="s">
        <v>20</v>
      </c>
      <c r="E163" s="7" t="s">
        <v>415</v>
      </c>
      <c r="F163" s="63">
        <f t="shared" si="118"/>
        <v>123307</v>
      </c>
      <c r="G163" s="61">
        <v>123307</v>
      </c>
      <c r="H163" s="61"/>
      <c r="I163" s="61"/>
      <c r="J163" s="63">
        <f t="shared" si="119"/>
        <v>114215.8</v>
      </c>
      <c r="K163" s="61">
        <f>113260.8+955</f>
        <v>114215.8</v>
      </c>
      <c r="L163" s="61"/>
      <c r="M163" s="61"/>
      <c r="N163" s="63">
        <f t="shared" si="120"/>
        <v>0</v>
      </c>
      <c r="O163" s="61"/>
      <c r="P163" s="61"/>
      <c r="Q163" s="61"/>
      <c r="R163" s="63">
        <f>S163+T163+U163</f>
        <v>0</v>
      </c>
      <c r="S163" s="61"/>
      <c r="T163" s="61"/>
      <c r="U163" s="61"/>
      <c r="V163" s="62">
        <f t="shared" si="90"/>
        <v>0.92600000000000005</v>
      </c>
    </row>
    <row r="164" spans="1:22" ht="44.25" customHeight="1">
      <c r="A164" s="45"/>
      <c r="B164" s="17" t="s">
        <v>171</v>
      </c>
      <c r="C164" s="7">
        <v>821</v>
      </c>
      <c r="D164" s="8" t="s">
        <v>20</v>
      </c>
      <c r="E164" s="7" t="s">
        <v>362</v>
      </c>
      <c r="F164" s="63">
        <f t="shared" si="118"/>
        <v>15002.5</v>
      </c>
      <c r="G164" s="61">
        <f>197076+0.01-182073.53</f>
        <v>15002.5</v>
      </c>
      <c r="H164" s="61"/>
      <c r="I164" s="61"/>
      <c r="J164" s="63">
        <f t="shared" si="119"/>
        <v>10513.9</v>
      </c>
      <c r="K164" s="61">
        <f>10018.77+42.23+119.1+333.8</f>
        <v>10513.9</v>
      </c>
      <c r="L164" s="61"/>
      <c r="M164" s="61"/>
      <c r="N164" s="63">
        <f t="shared" si="120"/>
        <v>1842.6</v>
      </c>
      <c r="O164" s="61">
        <f>14774.7-12932.15</f>
        <v>1842.6</v>
      </c>
      <c r="P164" s="61"/>
      <c r="Q164" s="61"/>
      <c r="R164" s="63">
        <f>S164+T164+U164</f>
        <v>0</v>
      </c>
      <c r="S164" s="61"/>
      <c r="T164" s="61"/>
      <c r="U164" s="61"/>
      <c r="V164" s="62">
        <f t="shared" si="90"/>
        <v>0.70099999999999996</v>
      </c>
    </row>
    <row r="165" spans="1:22" ht="18.75">
      <c r="A165" s="46" t="s">
        <v>112</v>
      </c>
      <c r="B165" s="21" t="s">
        <v>113</v>
      </c>
      <c r="C165" s="1" t="s">
        <v>13</v>
      </c>
      <c r="D165" s="1" t="s">
        <v>13</v>
      </c>
      <c r="E165" s="1" t="s">
        <v>13</v>
      </c>
      <c r="F165" s="57">
        <f t="shared" ref="F165:U165" si="122">F166+F171+F175+F182+F185</f>
        <v>354159.3</v>
      </c>
      <c r="G165" s="57">
        <f t="shared" si="122"/>
        <v>150778.5</v>
      </c>
      <c r="H165" s="57">
        <f t="shared" si="122"/>
        <v>184654.1</v>
      </c>
      <c r="I165" s="57">
        <f t="shared" si="122"/>
        <v>18726.7</v>
      </c>
      <c r="J165" s="57">
        <f t="shared" si="122"/>
        <v>214153.9</v>
      </c>
      <c r="K165" s="57">
        <f t="shared" si="122"/>
        <v>92869.8</v>
      </c>
      <c r="L165" s="57">
        <f t="shared" si="122"/>
        <v>115942.8</v>
      </c>
      <c r="M165" s="57">
        <f t="shared" si="122"/>
        <v>5341.3</v>
      </c>
      <c r="N165" s="57">
        <f t="shared" si="122"/>
        <v>439821</v>
      </c>
      <c r="O165" s="57">
        <f t="shared" si="122"/>
        <v>119522.8</v>
      </c>
      <c r="P165" s="57">
        <f t="shared" si="122"/>
        <v>316457</v>
      </c>
      <c r="Q165" s="57">
        <f t="shared" si="122"/>
        <v>3841.2</v>
      </c>
      <c r="R165" s="57">
        <f t="shared" si="122"/>
        <v>409459.20000000001</v>
      </c>
      <c r="S165" s="57">
        <f t="shared" si="122"/>
        <v>23811.1</v>
      </c>
      <c r="T165" s="57">
        <f t="shared" si="122"/>
        <v>381621.8</v>
      </c>
      <c r="U165" s="57">
        <f t="shared" si="122"/>
        <v>4026.3</v>
      </c>
      <c r="V165" s="58">
        <f t="shared" si="90"/>
        <v>0.60499999999999998</v>
      </c>
    </row>
    <row r="166" spans="1:22" ht="33">
      <c r="A166" s="44" t="s">
        <v>114</v>
      </c>
      <c r="B166" s="15" t="s">
        <v>115</v>
      </c>
      <c r="C166" s="6" t="s">
        <v>13</v>
      </c>
      <c r="D166" s="6" t="s">
        <v>13</v>
      </c>
      <c r="E166" s="6" t="s">
        <v>13</v>
      </c>
      <c r="F166" s="63">
        <f t="shared" ref="F166:T166" si="123">SUM(F168:F170)</f>
        <v>73174</v>
      </c>
      <c r="G166" s="59">
        <f t="shared" si="123"/>
        <v>1629.1</v>
      </c>
      <c r="H166" s="59">
        <f t="shared" si="123"/>
        <v>71544.899999999994</v>
      </c>
      <c r="I166" s="59">
        <f t="shared" si="123"/>
        <v>0</v>
      </c>
      <c r="J166" s="63">
        <f t="shared" si="123"/>
        <v>72421.8</v>
      </c>
      <c r="K166" s="59">
        <f t="shared" si="123"/>
        <v>876.9</v>
      </c>
      <c r="L166" s="59">
        <f t="shared" si="123"/>
        <v>71544.899999999994</v>
      </c>
      <c r="M166" s="59">
        <f t="shared" si="123"/>
        <v>0</v>
      </c>
      <c r="N166" s="63">
        <f t="shared" si="123"/>
        <v>67450.899999999994</v>
      </c>
      <c r="O166" s="59">
        <f t="shared" si="123"/>
        <v>0</v>
      </c>
      <c r="P166" s="59">
        <f t="shared" si="123"/>
        <v>67450.899999999994</v>
      </c>
      <c r="Q166" s="59">
        <f t="shared" si="123"/>
        <v>0</v>
      </c>
      <c r="R166" s="63">
        <f t="shared" si="123"/>
        <v>56469.2</v>
      </c>
      <c r="S166" s="59">
        <f t="shared" si="123"/>
        <v>0</v>
      </c>
      <c r="T166" s="59">
        <f t="shared" si="123"/>
        <v>56469.2</v>
      </c>
      <c r="U166" s="59"/>
      <c r="V166" s="60">
        <f t="shared" si="90"/>
        <v>0.99</v>
      </c>
    </row>
    <row r="167" spans="1:22" ht="18.75">
      <c r="A167" s="45"/>
      <c r="B167" s="16" t="s">
        <v>16</v>
      </c>
      <c r="C167" s="7"/>
      <c r="D167" s="7"/>
      <c r="E167" s="7"/>
      <c r="F167" s="63"/>
      <c r="G167" s="59"/>
      <c r="H167" s="59"/>
      <c r="I167" s="59"/>
      <c r="J167" s="63"/>
      <c r="K167" s="59"/>
      <c r="L167" s="59"/>
      <c r="M167" s="59"/>
      <c r="N167" s="63"/>
      <c r="O167" s="59"/>
      <c r="P167" s="59"/>
      <c r="Q167" s="59"/>
      <c r="R167" s="63"/>
      <c r="S167" s="59"/>
      <c r="T167" s="59"/>
      <c r="U167" s="59"/>
      <c r="V167" s="60"/>
    </row>
    <row r="168" spans="1:22" ht="33">
      <c r="A168" s="45"/>
      <c r="B168" s="19" t="s">
        <v>116</v>
      </c>
      <c r="C168" s="7">
        <v>838</v>
      </c>
      <c r="D168" s="8" t="s">
        <v>117</v>
      </c>
      <c r="E168" s="7" t="s">
        <v>278</v>
      </c>
      <c r="F168" s="63">
        <f>G168+H168+I168</f>
        <v>18806.099999999999</v>
      </c>
      <c r="G168" s="61"/>
      <c r="H168" s="61">
        <v>18806.099999999999</v>
      </c>
      <c r="I168" s="61"/>
      <c r="J168" s="63">
        <f>K168+L168+M168</f>
        <v>18806.099999999999</v>
      </c>
      <c r="K168" s="61"/>
      <c r="L168" s="61">
        <f>3663.8+1943.2+2209.5+2213.7+8775.89</f>
        <v>18806.099999999999</v>
      </c>
      <c r="M168" s="61"/>
      <c r="N168" s="63">
        <f t="shared" ref="N168:N170" si="124">O168+P168+Q168</f>
        <v>22416.9</v>
      </c>
      <c r="O168" s="61"/>
      <c r="P168" s="61">
        <v>22416.9</v>
      </c>
      <c r="Q168" s="61"/>
      <c r="R168" s="63">
        <f t="shared" ref="R168:R170" si="125">S168+T168+U168</f>
        <v>23169.200000000001</v>
      </c>
      <c r="S168" s="61"/>
      <c r="T168" s="61">
        <v>23169.200000000001</v>
      </c>
      <c r="U168" s="61"/>
      <c r="V168" s="62">
        <f t="shared" si="90"/>
        <v>1</v>
      </c>
    </row>
    <row r="169" spans="1:22" ht="116.25" customHeight="1">
      <c r="A169" s="45"/>
      <c r="B169" s="17" t="s">
        <v>118</v>
      </c>
      <c r="C169" s="7">
        <v>838</v>
      </c>
      <c r="D169" s="8" t="s">
        <v>117</v>
      </c>
      <c r="E169" s="7" t="s">
        <v>279</v>
      </c>
      <c r="F169" s="63">
        <f>G169+H169+I169</f>
        <v>11527.8</v>
      </c>
      <c r="G169" s="61">
        <v>344.2</v>
      </c>
      <c r="H169" s="61">
        <f>11130.7+52.9</f>
        <v>11183.6</v>
      </c>
      <c r="I169" s="61"/>
      <c r="J169" s="63">
        <f>K169+L169+M169</f>
        <v>11496.5</v>
      </c>
      <c r="K169" s="61">
        <v>312.89999999999998</v>
      </c>
      <c r="L169" s="61">
        <f>9059.7+681.81+1387.56+54.53</f>
        <v>11183.6</v>
      </c>
      <c r="M169" s="61"/>
      <c r="N169" s="63">
        <f t="shared" si="124"/>
        <v>12584.7</v>
      </c>
      <c r="O169" s="61"/>
      <c r="P169" s="61">
        <v>12584.7</v>
      </c>
      <c r="Q169" s="61"/>
      <c r="R169" s="63">
        <f t="shared" si="125"/>
        <v>6782.7</v>
      </c>
      <c r="S169" s="61"/>
      <c r="T169" s="61">
        <v>6782.7</v>
      </c>
      <c r="U169" s="61"/>
      <c r="V169" s="62">
        <f t="shared" si="90"/>
        <v>0.997</v>
      </c>
    </row>
    <row r="170" spans="1:22" ht="90.75" customHeight="1">
      <c r="A170" s="45"/>
      <c r="B170" s="17" t="s">
        <v>119</v>
      </c>
      <c r="C170" s="7">
        <v>838</v>
      </c>
      <c r="D170" s="8" t="s">
        <v>117</v>
      </c>
      <c r="E170" s="7" t="s">
        <v>280</v>
      </c>
      <c r="F170" s="63">
        <f>G170+H170+I170</f>
        <v>42840.1</v>
      </c>
      <c r="G170" s="61">
        <v>1284.9000000000001</v>
      </c>
      <c r="H170" s="61">
        <f>41545.2+10</f>
        <v>41555.199999999997</v>
      </c>
      <c r="I170" s="61"/>
      <c r="J170" s="63">
        <f>K170+L170+M170</f>
        <v>42119.199999999997</v>
      </c>
      <c r="K170" s="61">
        <f>61.8+502.24</f>
        <v>564</v>
      </c>
      <c r="L170" s="61">
        <f>6666.1+16169+8396.9+8145.33+2177.87</f>
        <v>41555.199999999997</v>
      </c>
      <c r="M170" s="61"/>
      <c r="N170" s="63">
        <f t="shared" si="124"/>
        <v>32449.3</v>
      </c>
      <c r="O170" s="61"/>
      <c r="P170" s="61">
        <v>32449.3</v>
      </c>
      <c r="Q170" s="61"/>
      <c r="R170" s="63">
        <f t="shared" si="125"/>
        <v>26517.3</v>
      </c>
      <c r="S170" s="61"/>
      <c r="T170" s="61">
        <v>26517.3</v>
      </c>
      <c r="U170" s="61"/>
      <c r="V170" s="62">
        <f t="shared" si="90"/>
        <v>0.98299999999999998</v>
      </c>
    </row>
    <row r="171" spans="1:22" ht="18.75">
      <c r="A171" s="44" t="s">
        <v>120</v>
      </c>
      <c r="B171" s="15" t="s">
        <v>121</v>
      </c>
      <c r="C171" s="6" t="s">
        <v>13</v>
      </c>
      <c r="D171" s="6" t="s">
        <v>13</v>
      </c>
      <c r="E171" s="6" t="s">
        <v>13</v>
      </c>
      <c r="F171" s="63">
        <f t="shared" ref="F171:U171" si="126">F173+F174</f>
        <v>117549.1</v>
      </c>
      <c r="G171" s="59">
        <f t="shared" si="126"/>
        <v>95537</v>
      </c>
      <c r="H171" s="59">
        <f t="shared" si="126"/>
        <v>8944.7000000000007</v>
      </c>
      <c r="I171" s="59">
        <f t="shared" si="126"/>
        <v>13067.4</v>
      </c>
      <c r="J171" s="63">
        <f t="shared" si="126"/>
        <v>73762.7</v>
      </c>
      <c r="K171" s="59">
        <f t="shared" si="126"/>
        <v>64765.2</v>
      </c>
      <c r="L171" s="59">
        <f t="shared" si="126"/>
        <v>3656.2</v>
      </c>
      <c r="M171" s="59">
        <f t="shared" si="126"/>
        <v>5341.3</v>
      </c>
      <c r="N171" s="63">
        <f t="shared" si="126"/>
        <v>280227.09999999998</v>
      </c>
      <c r="O171" s="59">
        <f t="shared" si="126"/>
        <v>106237.1</v>
      </c>
      <c r="P171" s="59">
        <f t="shared" si="126"/>
        <v>173990</v>
      </c>
      <c r="Q171" s="59">
        <f t="shared" si="126"/>
        <v>0</v>
      </c>
      <c r="R171" s="63">
        <f t="shared" si="126"/>
        <v>254146.3</v>
      </c>
      <c r="S171" s="59">
        <f t="shared" si="126"/>
        <v>7625</v>
      </c>
      <c r="T171" s="59">
        <f t="shared" si="126"/>
        <v>246521.3</v>
      </c>
      <c r="U171" s="59">
        <f t="shared" si="126"/>
        <v>0</v>
      </c>
      <c r="V171" s="60">
        <f t="shared" si="90"/>
        <v>0.628</v>
      </c>
    </row>
    <row r="172" spans="1:22" ht="18.75">
      <c r="A172" s="45"/>
      <c r="B172" s="16" t="s">
        <v>16</v>
      </c>
      <c r="C172" s="7"/>
      <c r="D172" s="7"/>
      <c r="E172" s="7"/>
      <c r="F172" s="63"/>
      <c r="G172" s="59"/>
      <c r="H172" s="59"/>
      <c r="I172" s="59"/>
      <c r="J172" s="63"/>
      <c r="K172" s="59"/>
      <c r="L172" s="59"/>
      <c r="M172" s="59"/>
      <c r="N172" s="63"/>
      <c r="O172" s="59"/>
      <c r="P172" s="59"/>
      <c r="Q172" s="59"/>
      <c r="R172" s="63"/>
      <c r="S172" s="59"/>
      <c r="T172" s="59"/>
      <c r="U172" s="59"/>
      <c r="V172" s="60"/>
    </row>
    <row r="173" spans="1:22" ht="33">
      <c r="A173" s="45"/>
      <c r="B173" s="17" t="s">
        <v>122</v>
      </c>
      <c r="C173" s="7">
        <v>828</v>
      </c>
      <c r="D173" s="8" t="s">
        <v>123</v>
      </c>
      <c r="E173" s="7" t="s">
        <v>282</v>
      </c>
      <c r="F173" s="63">
        <f>G173+H173+I173</f>
        <v>72049.100000000006</v>
      </c>
      <c r="G173" s="61">
        <v>50037</v>
      </c>
      <c r="H173" s="61">
        <v>8944.7000000000007</v>
      </c>
      <c r="I173" s="61">
        <v>13067.4</v>
      </c>
      <c r="J173" s="63">
        <f>K173+L173+M173</f>
        <v>29450</v>
      </c>
      <c r="K173" s="61">
        <f>865.8+19586.73</f>
        <v>20452.5</v>
      </c>
      <c r="L173" s="61">
        <f>154.8+3501.36</f>
        <v>3656.2</v>
      </c>
      <c r="M173" s="61">
        <v>5341.3</v>
      </c>
      <c r="N173" s="63">
        <f t="shared" ref="N173:N174" si="127">O173+P173+Q173</f>
        <v>280227.09999999998</v>
      </c>
      <c r="O173" s="61">
        <v>106237.1</v>
      </c>
      <c r="P173" s="61">
        <v>173990</v>
      </c>
      <c r="Q173" s="61"/>
      <c r="R173" s="63">
        <f>S173+T173+U173</f>
        <v>254146.3</v>
      </c>
      <c r="S173" s="61">
        <v>7625</v>
      </c>
      <c r="T173" s="61">
        <v>246521.3</v>
      </c>
      <c r="U173" s="61"/>
      <c r="V173" s="62">
        <f t="shared" si="90"/>
        <v>0.40899999999999997</v>
      </c>
    </row>
    <row r="174" spans="1:22" ht="82.5">
      <c r="A174" s="45"/>
      <c r="B174" s="17" t="s">
        <v>373</v>
      </c>
      <c r="C174" s="7">
        <v>828</v>
      </c>
      <c r="D174" s="8" t="s">
        <v>123</v>
      </c>
      <c r="E174" s="7" t="s">
        <v>372</v>
      </c>
      <c r="F174" s="63">
        <f>G174+H174+I174</f>
        <v>45500</v>
      </c>
      <c r="G174" s="61">
        <f>80000-34500</f>
        <v>45500</v>
      </c>
      <c r="H174" s="61"/>
      <c r="I174" s="61"/>
      <c r="J174" s="63">
        <f>K174+L174+M174</f>
        <v>44312.7</v>
      </c>
      <c r="K174" s="61">
        <f>24969.3+1240.2+1918.81+276.42+2112.47+5077.08+3560.79+2746.34+2411.33</f>
        <v>44312.7</v>
      </c>
      <c r="L174" s="61"/>
      <c r="M174" s="61"/>
      <c r="N174" s="63">
        <f t="shared" si="127"/>
        <v>0</v>
      </c>
      <c r="O174" s="61"/>
      <c r="P174" s="61"/>
      <c r="Q174" s="61"/>
      <c r="R174" s="63">
        <f>S174+T174+U174</f>
        <v>0</v>
      </c>
      <c r="S174" s="61"/>
      <c r="T174" s="61"/>
      <c r="U174" s="61"/>
      <c r="V174" s="62">
        <f t="shared" si="90"/>
        <v>0.97399999999999998</v>
      </c>
    </row>
    <row r="175" spans="1:22" ht="49.5">
      <c r="A175" s="44" t="s">
        <v>124</v>
      </c>
      <c r="B175" s="15" t="s">
        <v>125</v>
      </c>
      <c r="C175" s="6" t="s">
        <v>13</v>
      </c>
      <c r="D175" s="6" t="s">
        <v>13</v>
      </c>
      <c r="E175" s="6" t="s">
        <v>13</v>
      </c>
      <c r="F175" s="63">
        <f t="shared" ref="F175:U175" si="128">SUM(F177:F181)</f>
        <v>85131.4</v>
      </c>
      <c r="G175" s="63">
        <f t="shared" si="128"/>
        <v>40422.300000000003</v>
      </c>
      <c r="H175" s="63">
        <f t="shared" si="128"/>
        <v>42221.599999999999</v>
      </c>
      <c r="I175" s="63">
        <f t="shared" si="128"/>
        <v>2487.5</v>
      </c>
      <c r="J175" s="63">
        <f t="shared" si="128"/>
        <v>66259.7</v>
      </c>
      <c r="K175" s="63">
        <f t="shared" si="128"/>
        <v>25518</v>
      </c>
      <c r="L175" s="63">
        <f t="shared" si="128"/>
        <v>40741.699999999997</v>
      </c>
      <c r="M175" s="63">
        <f t="shared" si="128"/>
        <v>0</v>
      </c>
      <c r="N175" s="63">
        <f t="shared" si="128"/>
        <v>0</v>
      </c>
      <c r="O175" s="63">
        <f t="shared" si="128"/>
        <v>0</v>
      </c>
      <c r="P175" s="63">
        <f t="shared" si="128"/>
        <v>0</v>
      </c>
      <c r="Q175" s="63">
        <f t="shared" si="128"/>
        <v>0</v>
      </c>
      <c r="R175" s="63">
        <f t="shared" si="128"/>
        <v>0</v>
      </c>
      <c r="S175" s="63">
        <f t="shared" si="128"/>
        <v>0</v>
      </c>
      <c r="T175" s="63">
        <f t="shared" si="128"/>
        <v>0</v>
      </c>
      <c r="U175" s="63">
        <f t="shared" si="128"/>
        <v>0</v>
      </c>
      <c r="V175" s="66">
        <f t="shared" si="90"/>
        <v>0.77800000000000002</v>
      </c>
    </row>
    <row r="176" spans="1:22" ht="18.75">
      <c r="A176" s="45"/>
      <c r="B176" s="16" t="s">
        <v>16</v>
      </c>
      <c r="C176" s="7"/>
      <c r="D176" s="7"/>
      <c r="E176" s="7"/>
      <c r="F176" s="63"/>
      <c r="G176" s="59"/>
      <c r="H176" s="59"/>
      <c r="I176" s="59"/>
      <c r="J176" s="63"/>
      <c r="K176" s="59"/>
      <c r="L176" s="59"/>
      <c r="M176" s="59"/>
      <c r="N176" s="63"/>
      <c r="O176" s="59"/>
      <c r="P176" s="59"/>
      <c r="Q176" s="59"/>
      <c r="R176" s="63"/>
      <c r="S176" s="59"/>
      <c r="T176" s="59"/>
      <c r="U176" s="59"/>
      <c r="V176" s="60"/>
    </row>
    <row r="177" spans="1:22" ht="82.5">
      <c r="A177" s="45"/>
      <c r="B177" s="17" t="s">
        <v>126</v>
      </c>
      <c r="C177" s="7">
        <v>810</v>
      </c>
      <c r="D177" s="8" t="s">
        <v>127</v>
      </c>
      <c r="E177" s="7" t="s">
        <v>315</v>
      </c>
      <c r="F177" s="63">
        <f>G177+H177+I177</f>
        <v>0</v>
      </c>
      <c r="G177" s="61">
        <f>10000+10000-2400-7600-10000</f>
        <v>0</v>
      </c>
      <c r="H177" s="61"/>
      <c r="I177" s="61"/>
      <c r="J177" s="63">
        <f>K177+L177+M177</f>
        <v>0</v>
      </c>
      <c r="K177" s="61">
        <f>10000-10000</f>
        <v>0</v>
      </c>
      <c r="L177" s="61"/>
      <c r="M177" s="61"/>
      <c r="N177" s="63">
        <f t="shared" ref="N177:N181" si="129">O177+P177+Q177</f>
        <v>0</v>
      </c>
      <c r="O177" s="61"/>
      <c r="P177" s="61"/>
      <c r="Q177" s="61"/>
      <c r="R177" s="63">
        <f>S177+T177+U177</f>
        <v>0</v>
      </c>
      <c r="S177" s="61"/>
      <c r="T177" s="61"/>
      <c r="U177" s="61"/>
      <c r="V177" s="62"/>
    </row>
    <row r="178" spans="1:22" ht="183" customHeight="1">
      <c r="A178" s="45"/>
      <c r="B178" s="17" t="s">
        <v>435</v>
      </c>
      <c r="C178" s="7">
        <v>810</v>
      </c>
      <c r="D178" s="8" t="s">
        <v>127</v>
      </c>
      <c r="E178" s="7" t="s">
        <v>434</v>
      </c>
      <c r="F178" s="63">
        <f>G178+H178+I178</f>
        <v>22822.3</v>
      </c>
      <c r="G178" s="61">
        <v>22822.3</v>
      </c>
      <c r="H178" s="61"/>
      <c r="I178" s="61"/>
      <c r="J178" s="63">
        <f>K178+L178+M178</f>
        <v>15518</v>
      </c>
      <c r="K178" s="61">
        <f>14284.6+1233.4</f>
        <v>15518</v>
      </c>
      <c r="L178" s="61"/>
      <c r="M178" s="61"/>
      <c r="N178" s="63"/>
      <c r="O178" s="61"/>
      <c r="P178" s="61"/>
      <c r="Q178" s="61"/>
      <c r="R178" s="63"/>
      <c r="S178" s="61"/>
      <c r="T178" s="61"/>
      <c r="U178" s="61"/>
      <c r="V178" s="62">
        <f t="shared" si="90"/>
        <v>0.68</v>
      </c>
    </row>
    <row r="179" spans="1:22" ht="183" customHeight="1">
      <c r="A179" s="45"/>
      <c r="B179" s="17" t="s">
        <v>442</v>
      </c>
      <c r="C179" s="7">
        <v>810</v>
      </c>
      <c r="D179" s="8" t="s">
        <v>127</v>
      </c>
      <c r="E179" s="7" t="s">
        <v>443</v>
      </c>
      <c r="F179" s="63">
        <f>G179+H179+I179</f>
        <v>10000</v>
      </c>
      <c r="G179" s="61">
        <v>10000</v>
      </c>
      <c r="H179" s="61"/>
      <c r="I179" s="61"/>
      <c r="J179" s="63">
        <f>K179+L179+M179</f>
        <v>10000</v>
      </c>
      <c r="K179" s="61">
        <v>10000</v>
      </c>
      <c r="L179" s="61"/>
      <c r="M179" s="61"/>
      <c r="N179" s="63"/>
      <c r="O179" s="61"/>
      <c r="P179" s="61"/>
      <c r="Q179" s="61"/>
      <c r="R179" s="63"/>
      <c r="S179" s="61"/>
      <c r="T179" s="61"/>
      <c r="U179" s="61"/>
      <c r="V179" s="62">
        <f t="shared" si="90"/>
        <v>1</v>
      </c>
    </row>
    <row r="180" spans="1:22" ht="86.25" customHeight="1">
      <c r="A180" s="45"/>
      <c r="B180" s="17" t="s">
        <v>419</v>
      </c>
      <c r="C180" s="7">
        <v>810</v>
      </c>
      <c r="D180" s="8" t="s">
        <v>127</v>
      </c>
      <c r="E180" s="7" t="s">
        <v>420</v>
      </c>
      <c r="F180" s="63">
        <f>G180+H180+I180</f>
        <v>10087.5</v>
      </c>
      <c r="G180" s="61">
        <v>7600</v>
      </c>
      <c r="H180" s="61"/>
      <c r="I180" s="61">
        <v>2487.5</v>
      </c>
      <c r="J180" s="63">
        <f>K180+L180+M180</f>
        <v>0</v>
      </c>
      <c r="K180" s="61"/>
      <c r="L180" s="61"/>
      <c r="M180" s="61"/>
      <c r="N180" s="63">
        <f t="shared" si="129"/>
        <v>0</v>
      </c>
      <c r="O180" s="61"/>
      <c r="P180" s="61"/>
      <c r="Q180" s="61"/>
      <c r="R180" s="63">
        <f>S180+T180+U180</f>
        <v>0</v>
      </c>
      <c r="S180" s="61"/>
      <c r="T180" s="61"/>
      <c r="U180" s="61"/>
      <c r="V180" s="62">
        <f t="shared" si="90"/>
        <v>0</v>
      </c>
    </row>
    <row r="181" spans="1:22" ht="180" customHeight="1">
      <c r="A181" s="45"/>
      <c r="B181" s="17" t="s">
        <v>416</v>
      </c>
      <c r="C181" s="7" t="s">
        <v>417</v>
      </c>
      <c r="D181" s="8" t="s">
        <v>127</v>
      </c>
      <c r="E181" s="7" t="s">
        <v>418</v>
      </c>
      <c r="F181" s="63">
        <f>G181+H181+I181</f>
        <v>42221.599999999999</v>
      </c>
      <c r="G181" s="61">
        <f>7177.7-7177.7</f>
        <v>0</v>
      </c>
      <c r="H181" s="61">
        <v>42221.599999999999</v>
      </c>
      <c r="I181" s="61"/>
      <c r="J181" s="63">
        <f>K181+L181+M181</f>
        <v>40741.699999999997</v>
      </c>
      <c r="K181" s="61"/>
      <c r="L181" s="61">
        <f>22389.5+13580.56+4771.63</f>
        <v>40741.699999999997</v>
      </c>
      <c r="M181" s="61"/>
      <c r="N181" s="63">
        <f t="shared" si="129"/>
        <v>0</v>
      </c>
      <c r="O181" s="61"/>
      <c r="P181" s="61"/>
      <c r="Q181" s="61"/>
      <c r="R181" s="63">
        <f>S181+T181+U181</f>
        <v>0</v>
      </c>
      <c r="S181" s="61"/>
      <c r="T181" s="61"/>
      <c r="U181" s="61"/>
      <c r="V181" s="62">
        <f t="shared" ref="V181:V241" si="130">J181/F181</f>
        <v>0.96499999999999997</v>
      </c>
    </row>
    <row r="182" spans="1:22" ht="33">
      <c r="A182" s="44" t="s">
        <v>128</v>
      </c>
      <c r="B182" s="15" t="s">
        <v>129</v>
      </c>
      <c r="C182" s="6" t="s">
        <v>13</v>
      </c>
      <c r="D182" s="6" t="s">
        <v>13</v>
      </c>
      <c r="E182" s="6" t="s">
        <v>13</v>
      </c>
      <c r="F182" s="63">
        <f t="shared" ref="F182:U182" si="131">F184</f>
        <v>3674.8</v>
      </c>
      <c r="G182" s="59">
        <f t="shared" si="131"/>
        <v>3674.8</v>
      </c>
      <c r="H182" s="59">
        <f t="shared" si="131"/>
        <v>0</v>
      </c>
      <c r="I182" s="59">
        <f t="shared" si="131"/>
        <v>0</v>
      </c>
      <c r="J182" s="63">
        <f t="shared" si="131"/>
        <v>1709.7</v>
      </c>
      <c r="K182" s="59">
        <f t="shared" si="131"/>
        <v>1709.7</v>
      </c>
      <c r="L182" s="59">
        <f t="shared" si="131"/>
        <v>0</v>
      </c>
      <c r="M182" s="59">
        <f t="shared" si="131"/>
        <v>0</v>
      </c>
      <c r="N182" s="63">
        <f t="shared" si="131"/>
        <v>1762.2</v>
      </c>
      <c r="O182" s="59">
        <f t="shared" si="131"/>
        <v>1762.2</v>
      </c>
      <c r="P182" s="59">
        <f t="shared" si="131"/>
        <v>0</v>
      </c>
      <c r="Q182" s="59">
        <f t="shared" si="131"/>
        <v>0</v>
      </c>
      <c r="R182" s="63">
        <f t="shared" si="131"/>
        <v>4107.2</v>
      </c>
      <c r="S182" s="59">
        <f t="shared" si="131"/>
        <v>4107.2</v>
      </c>
      <c r="T182" s="59">
        <f t="shared" si="131"/>
        <v>0</v>
      </c>
      <c r="U182" s="59">
        <f t="shared" si="131"/>
        <v>0</v>
      </c>
      <c r="V182" s="60">
        <f t="shared" si="130"/>
        <v>0.46500000000000002</v>
      </c>
    </row>
    <row r="183" spans="1:22" ht="18.75">
      <c r="A183" s="45"/>
      <c r="B183" s="16" t="s">
        <v>16</v>
      </c>
      <c r="C183" s="7"/>
      <c r="D183" s="7"/>
      <c r="E183" s="7"/>
      <c r="F183" s="63"/>
      <c r="G183" s="59"/>
      <c r="H183" s="59"/>
      <c r="I183" s="59"/>
      <c r="J183" s="63"/>
      <c r="K183" s="59"/>
      <c r="L183" s="59"/>
      <c r="M183" s="59"/>
      <c r="N183" s="63"/>
      <c r="O183" s="59"/>
      <c r="P183" s="59"/>
      <c r="Q183" s="59"/>
      <c r="R183" s="63"/>
      <c r="S183" s="59"/>
      <c r="T183" s="59"/>
      <c r="U183" s="59"/>
      <c r="V183" s="60"/>
    </row>
    <row r="184" spans="1:22" ht="33">
      <c r="A184" s="45"/>
      <c r="B184" s="17" t="s">
        <v>130</v>
      </c>
      <c r="C184" s="7">
        <v>810</v>
      </c>
      <c r="D184" s="8" t="s">
        <v>127</v>
      </c>
      <c r="E184" s="7" t="s">
        <v>277</v>
      </c>
      <c r="F184" s="63">
        <f>G184+H184+I184</f>
        <v>3674.8</v>
      </c>
      <c r="G184" s="61">
        <f>4762.2-1087.4</f>
        <v>3674.8</v>
      </c>
      <c r="H184" s="61"/>
      <c r="I184" s="61"/>
      <c r="J184" s="63">
        <f>K184+L184+M184</f>
        <v>1709.7</v>
      </c>
      <c r="K184" s="61">
        <f>888+821.7</f>
        <v>1709.7</v>
      </c>
      <c r="L184" s="61"/>
      <c r="M184" s="61"/>
      <c r="N184" s="63">
        <f t="shared" ref="N184" si="132">O184+P184+Q184</f>
        <v>1762.2</v>
      </c>
      <c r="O184" s="61">
        <v>1762.2</v>
      </c>
      <c r="P184" s="61">
        <f>29820-29820</f>
        <v>0</v>
      </c>
      <c r="Q184" s="61"/>
      <c r="R184" s="63">
        <f t="shared" ref="R184" si="133">S184+T184+U184</f>
        <v>4107.2</v>
      </c>
      <c r="S184" s="61">
        <v>4107.2</v>
      </c>
      <c r="T184" s="61">
        <f>132800-132800</f>
        <v>0</v>
      </c>
      <c r="U184" s="61"/>
      <c r="V184" s="62">
        <f t="shared" si="130"/>
        <v>0.46500000000000002</v>
      </c>
    </row>
    <row r="185" spans="1:22" s="50" customFormat="1" ht="18.75">
      <c r="A185" s="41" t="s">
        <v>287</v>
      </c>
      <c r="B185" s="26" t="s">
        <v>288</v>
      </c>
      <c r="C185" s="27" t="s">
        <v>13</v>
      </c>
      <c r="D185" s="43" t="s">
        <v>13</v>
      </c>
      <c r="E185" s="27" t="s">
        <v>13</v>
      </c>
      <c r="F185" s="59">
        <f t="shared" ref="F185:U185" si="134">F187</f>
        <v>74630</v>
      </c>
      <c r="G185" s="59">
        <f t="shared" si="134"/>
        <v>9515.2999999999993</v>
      </c>
      <c r="H185" s="59">
        <f t="shared" si="134"/>
        <v>61942.9</v>
      </c>
      <c r="I185" s="59">
        <f t="shared" si="134"/>
        <v>3171.8</v>
      </c>
      <c r="J185" s="59">
        <f t="shared" si="134"/>
        <v>0</v>
      </c>
      <c r="K185" s="59">
        <f t="shared" si="134"/>
        <v>0</v>
      </c>
      <c r="L185" s="59">
        <f t="shared" si="134"/>
        <v>0</v>
      </c>
      <c r="M185" s="59">
        <f t="shared" si="134"/>
        <v>0</v>
      </c>
      <c r="N185" s="59">
        <f t="shared" si="134"/>
        <v>90380.800000000003</v>
      </c>
      <c r="O185" s="59">
        <f t="shared" si="134"/>
        <v>11523.5</v>
      </c>
      <c r="P185" s="59">
        <f t="shared" si="134"/>
        <v>75016.100000000006</v>
      </c>
      <c r="Q185" s="59">
        <f t="shared" si="134"/>
        <v>3841.2</v>
      </c>
      <c r="R185" s="59">
        <f t="shared" si="134"/>
        <v>94736.5</v>
      </c>
      <c r="S185" s="59">
        <f t="shared" si="134"/>
        <v>12078.9</v>
      </c>
      <c r="T185" s="59">
        <f t="shared" si="134"/>
        <v>78631.3</v>
      </c>
      <c r="U185" s="59">
        <f t="shared" si="134"/>
        <v>4026.3</v>
      </c>
      <c r="V185" s="60">
        <f t="shared" si="130"/>
        <v>0</v>
      </c>
    </row>
    <row r="186" spans="1:22" ht="18.75">
      <c r="A186" s="45"/>
      <c r="B186" s="16" t="s">
        <v>16</v>
      </c>
      <c r="C186" s="7"/>
      <c r="D186" s="8"/>
      <c r="E186" s="7"/>
      <c r="F186" s="63"/>
      <c r="G186" s="59"/>
      <c r="H186" s="59"/>
      <c r="I186" s="59"/>
      <c r="J186" s="63"/>
      <c r="K186" s="59"/>
      <c r="L186" s="59"/>
      <c r="M186" s="59"/>
      <c r="N186" s="63"/>
      <c r="O186" s="59"/>
      <c r="P186" s="59"/>
      <c r="Q186" s="59"/>
      <c r="R186" s="63"/>
      <c r="S186" s="59"/>
      <c r="T186" s="59"/>
      <c r="U186" s="59"/>
      <c r="V186" s="60"/>
    </row>
    <row r="187" spans="1:22" ht="66">
      <c r="A187" s="45"/>
      <c r="B187" s="17" t="s">
        <v>290</v>
      </c>
      <c r="C187" s="7">
        <v>810</v>
      </c>
      <c r="D187" s="8" t="s">
        <v>127</v>
      </c>
      <c r="E187" s="7" t="s">
        <v>289</v>
      </c>
      <c r="F187" s="63">
        <f>G187+H187+I187</f>
        <v>74630</v>
      </c>
      <c r="G187" s="61">
        <v>9515.2999999999993</v>
      </c>
      <c r="H187" s="61">
        <v>61942.9</v>
      </c>
      <c r="I187" s="61">
        <v>3171.8</v>
      </c>
      <c r="J187" s="63">
        <f>K187+L187+M187</f>
        <v>0</v>
      </c>
      <c r="K187" s="61"/>
      <c r="L187" s="61"/>
      <c r="M187" s="61"/>
      <c r="N187" s="63">
        <f t="shared" ref="N187" si="135">O187+P187+Q187</f>
        <v>90380.800000000003</v>
      </c>
      <c r="O187" s="61">
        <v>11523.5</v>
      </c>
      <c r="P187" s="61">
        <v>75016.100000000006</v>
      </c>
      <c r="Q187" s="61">
        <v>3841.2</v>
      </c>
      <c r="R187" s="63">
        <f>S187+T187+U187</f>
        <v>94736.5</v>
      </c>
      <c r="S187" s="61">
        <v>12078.9</v>
      </c>
      <c r="T187" s="61">
        <v>78631.3</v>
      </c>
      <c r="U187" s="61">
        <v>4026.3</v>
      </c>
      <c r="V187" s="62">
        <f t="shared" si="130"/>
        <v>0</v>
      </c>
    </row>
    <row r="188" spans="1:22" ht="33">
      <c r="A188" s="46" t="s">
        <v>131</v>
      </c>
      <c r="B188" s="22" t="s">
        <v>132</v>
      </c>
      <c r="C188" s="1" t="s">
        <v>13</v>
      </c>
      <c r="D188" s="1" t="s">
        <v>13</v>
      </c>
      <c r="E188" s="1" t="s">
        <v>13</v>
      </c>
      <c r="F188" s="57">
        <f t="shared" ref="F188:U188" si="136">F189+F199+F193</f>
        <v>3857145.9</v>
      </c>
      <c r="G188" s="57">
        <f t="shared" si="136"/>
        <v>2238445.9</v>
      </c>
      <c r="H188" s="57">
        <f t="shared" si="136"/>
        <v>1350000</v>
      </c>
      <c r="I188" s="57">
        <f t="shared" si="136"/>
        <v>268700</v>
      </c>
      <c r="J188" s="57">
        <f t="shared" si="136"/>
        <v>3830674.5</v>
      </c>
      <c r="K188" s="57">
        <f t="shared" si="136"/>
        <v>2214811.4</v>
      </c>
      <c r="L188" s="57">
        <f t="shared" si="136"/>
        <v>1347163.1</v>
      </c>
      <c r="M188" s="57">
        <f t="shared" si="136"/>
        <v>268700</v>
      </c>
      <c r="N188" s="57">
        <f t="shared" si="136"/>
        <v>4688413.0999999996</v>
      </c>
      <c r="O188" s="57">
        <f t="shared" si="136"/>
        <v>3499622.5</v>
      </c>
      <c r="P188" s="57">
        <f t="shared" si="136"/>
        <v>800000</v>
      </c>
      <c r="Q188" s="57">
        <f t="shared" si="136"/>
        <v>388790.6</v>
      </c>
      <c r="R188" s="57">
        <f t="shared" si="136"/>
        <v>4588687.4000000004</v>
      </c>
      <c r="S188" s="57">
        <f t="shared" si="136"/>
        <v>4418687.4000000004</v>
      </c>
      <c r="T188" s="57">
        <f t="shared" si="136"/>
        <v>120000</v>
      </c>
      <c r="U188" s="57">
        <f t="shared" si="136"/>
        <v>50000</v>
      </c>
      <c r="V188" s="58">
        <f t="shared" si="130"/>
        <v>0.99299999999999999</v>
      </c>
    </row>
    <row r="189" spans="1:22" ht="18.75">
      <c r="A189" s="44" t="s">
        <v>133</v>
      </c>
      <c r="B189" s="15" t="s">
        <v>134</v>
      </c>
      <c r="C189" s="6" t="s">
        <v>13</v>
      </c>
      <c r="D189" s="6" t="s">
        <v>13</v>
      </c>
      <c r="E189" s="6" t="s">
        <v>13</v>
      </c>
      <c r="F189" s="63">
        <f>SUM(F191:F192)</f>
        <v>3834765.9</v>
      </c>
      <c r="G189" s="63">
        <f t="shared" ref="G189:U189" si="137">SUM(G191:G192)</f>
        <v>2216065.9</v>
      </c>
      <c r="H189" s="63">
        <f t="shared" si="137"/>
        <v>1350000</v>
      </c>
      <c r="I189" s="63">
        <f t="shared" si="137"/>
        <v>268700</v>
      </c>
      <c r="J189" s="63">
        <f t="shared" si="137"/>
        <v>3829506</v>
      </c>
      <c r="K189" s="63">
        <f t="shared" si="137"/>
        <v>2213642.9</v>
      </c>
      <c r="L189" s="63">
        <f t="shared" si="137"/>
        <v>1347163.1</v>
      </c>
      <c r="M189" s="63">
        <f t="shared" si="137"/>
        <v>268700</v>
      </c>
      <c r="N189" s="63">
        <f t="shared" si="137"/>
        <v>4503033.0999999996</v>
      </c>
      <c r="O189" s="63">
        <f t="shared" si="137"/>
        <v>3434242.5</v>
      </c>
      <c r="P189" s="63">
        <f t="shared" si="137"/>
        <v>680000</v>
      </c>
      <c r="Q189" s="63">
        <f t="shared" si="137"/>
        <v>388790.6</v>
      </c>
      <c r="R189" s="63">
        <f t="shared" si="137"/>
        <v>4411557.4000000004</v>
      </c>
      <c r="S189" s="63">
        <f t="shared" si="137"/>
        <v>4361557.4000000004</v>
      </c>
      <c r="T189" s="63">
        <f t="shared" si="137"/>
        <v>0</v>
      </c>
      <c r="U189" s="63">
        <f t="shared" si="137"/>
        <v>50000</v>
      </c>
      <c r="V189" s="66">
        <f t="shared" si="130"/>
        <v>0.999</v>
      </c>
    </row>
    <row r="190" spans="1:22" ht="18.75">
      <c r="A190" s="45"/>
      <c r="B190" s="16" t="s">
        <v>16</v>
      </c>
      <c r="C190" s="7"/>
      <c r="D190" s="7"/>
      <c r="E190" s="7"/>
      <c r="F190" s="63"/>
      <c r="G190" s="59"/>
      <c r="H190" s="59"/>
      <c r="I190" s="59"/>
      <c r="J190" s="63"/>
      <c r="K190" s="59"/>
      <c r="L190" s="59"/>
      <c r="M190" s="59"/>
      <c r="N190" s="63"/>
      <c r="O190" s="59"/>
      <c r="P190" s="59"/>
      <c r="Q190" s="59"/>
      <c r="R190" s="63"/>
      <c r="S190" s="59"/>
      <c r="T190" s="59"/>
      <c r="U190" s="59"/>
      <c r="V190" s="60"/>
    </row>
    <row r="191" spans="1:22" ht="66">
      <c r="A191" s="45"/>
      <c r="B191" s="17" t="s">
        <v>135</v>
      </c>
      <c r="C191" s="7">
        <v>822</v>
      </c>
      <c r="D191" s="8" t="s">
        <v>136</v>
      </c>
      <c r="E191" s="7" t="s">
        <v>281</v>
      </c>
      <c r="F191" s="63">
        <f>G191+H191+I191</f>
        <v>3494765.9</v>
      </c>
      <c r="G191" s="61">
        <f>2164904.3+45359+27908.4-22105.77</f>
        <v>2216065.9</v>
      </c>
      <c r="H191" s="61">
        <v>1010000</v>
      </c>
      <c r="I191" s="61">
        <v>268700</v>
      </c>
      <c r="J191" s="63">
        <f>K191+L191+M191</f>
        <v>3489506</v>
      </c>
      <c r="K191" s="61">
        <f>2187979.1+21637.83+1951.64+2074.36</f>
        <v>2213642.9</v>
      </c>
      <c r="L191" s="61">
        <f>594826.9+134177.29+160000+55394.71+9593.2+53171.01</f>
        <v>1007163.1</v>
      </c>
      <c r="M191" s="61">
        <v>268700</v>
      </c>
      <c r="N191" s="63">
        <f t="shared" ref="N191:N198" si="138">O191+P191+Q191</f>
        <v>4503033.0999999996</v>
      </c>
      <c r="O191" s="61">
        <v>3434242.5</v>
      </c>
      <c r="P191" s="61">
        <v>680000</v>
      </c>
      <c r="Q191" s="61">
        <v>388790.6</v>
      </c>
      <c r="R191" s="63">
        <f>S191+T191+U191</f>
        <v>4411557.4000000004</v>
      </c>
      <c r="S191" s="61">
        <v>4361557.4000000004</v>
      </c>
      <c r="T191" s="61"/>
      <c r="U191" s="61">
        <v>50000</v>
      </c>
      <c r="V191" s="62">
        <f t="shared" si="130"/>
        <v>0.998</v>
      </c>
    </row>
    <row r="192" spans="1:22" ht="49.5">
      <c r="A192" s="45"/>
      <c r="B192" s="17" t="s">
        <v>438</v>
      </c>
      <c r="C192" s="7">
        <v>822</v>
      </c>
      <c r="D192" s="8" t="s">
        <v>136</v>
      </c>
      <c r="E192" s="7" t="s">
        <v>439</v>
      </c>
      <c r="F192" s="63">
        <f>G192+H192+I192</f>
        <v>340000</v>
      </c>
      <c r="G192" s="61"/>
      <c r="H192" s="61">
        <v>340000</v>
      </c>
      <c r="I192" s="61"/>
      <c r="J192" s="63">
        <f>K192+L192+M192</f>
        <v>340000</v>
      </c>
      <c r="K192" s="61"/>
      <c r="L192" s="61">
        <f>25614+60996.7+253389.29</f>
        <v>340000</v>
      </c>
      <c r="M192" s="61"/>
      <c r="N192" s="63">
        <f t="shared" si="138"/>
        <v>0</v>
      </c>
      <c r="O192" s="61"/>
      <c r="P192" s="61"/>
      <c r="Q192" s="61"/>
      <c r="R192" s="63">
        <f>S192+T192+U192</f>
        <v>0</v>
      </c>
      <c r="S192" s="61"/>
      <c r="T192" s="61"/>
      <c r="U192" s="61"/>
      <c r="V192" s="62">
        <f t="shared" si="130"/>
        <v>1</v>
      </c>
    </row>
    <row r="193" spans="1:22" ht="33">
      <c r="A193" s="44" t="s">
        <v>376</v>
      </c>
      <c r="B193" s="15" t="s">
        <v>399</v>
      </c>
      <c r="C193" s="6" t="s">
        <v>13</v>
      </c>
      <c r="D193" s="6" t="s">
        <v>13</v>
      </c>
      <c r="E193" s="6" t="s">
        <v>13</v>
      </c>
      <c r="F193" s="63">
        <f t="shared" ref="F193:U193" si="139">SUM(F195:F198)</f>
        <v>3380</v>
      </c>
      <c r="G193" s="63">
        <f t="shared" si="139"/>
        <v>3380</v>
      </c>
      <c r="H193" s="63">
        <f t="shared" si="139"/>
        <v>0</v>
      </c>
      <c r="I193" s="63">
        <f t="shared" si="139"/>
        <v>0</v>
      </c>
      <c r="J193" s="63">
        <f t="shared" si="139"/>
        <v>1168.5</v>
      </c>
      <c r="K193" s="63">
        <f t="shared" si="139"/>
        <v>1168.5</v>
      </c>
      <c r="L193" s="63">
        <f t="shared" si="139"/>
        <v>0</v>
      </c>
      <c r="M193" s="63">
        <f t="shared" si="139"/>
        <v>0</v>
      </c>
      <c r="N193" s="63">
        <f t="shared" si="139"/>
        <v>3380</v>
      </c>
      <c r="O193" s="63">
        <f t="shared" si="139"/>
        <v>3380</v>
      </c>
      <c r="P193" s="63">
        <f t="shared" si="139"/>
        <v>0</v>
      </c>
      <c r="Q193" s="63">
        <f t="shared" si="139"/>
        <v>0</v>
      </c>
      <c r="R193" s="63">
        <f t="shared" si="139"/>
        <v>3380</v>
      </c>
      <c r="S193" s="63">
        <f t="shared" si="139"/>
        <v>3380</v>
      </c>
      <c r="T193" s="63">
        <f t="shared" si="139"/>
        <v>0</v>
      </c>
      <c r="U193" s="63">
        <f t="shared" si="139"/>
        <v>0</v>
      </c>
      <c r="V193" s="66">
        <f t="shared" si="130"/>
        <v>0.34599999999999997</v>
      </c>
    </row>
    <row r="194" spans="1:22" ht="18.75">
      <c r="A194" s="45"/>
      <c r="B194" s="16" t="s">
        <v>16</v>
      </c>
      <c r="C194" s="7"/>
      <c r="D194" s="7"/>
      <c r="E194" s="7"/>
      <c r="F194" s="63"/>
      <c r="G194" s="61"/>
      <c r="H194" s="61"/>
      <c r="I194" s="61"/>
      <c r="J194" s="63"/>
      <c r="K194" s="61"/>
      <c r="L194" s="61"/>
      <c r="M194" s="61"/>
      <c r="N194" s="63"/>
      <c r="O194" s="61"/>
      <c r="P194" s="61"/>
      <c r="Q194" s="61"/>
      <c r="R194" s="63"/>
      <c r="S194" s="61"/>
      <c r="T194" s="61"/>
      <c r="U194" s="61"/>
      <c r="V194" s="62"/>
    </row>
    <row r="195" spans="1:22" ht="75.75" customHeight="1">
      <c r="A195" s="45"/>
      <c r="B195" s="17" t="s">
        <v>135</v>
      </c>
      <c r="C195" s="7">
        <v>811</v>
      </c>
      <c r="D195" s="8" t="s">
        <v>18</v>
      </c>
      <c r="E195" s="7" t="s">
        <v>375</v>
      </c>
      <c r="F195" s="63">
        <f>G195+H195+I195</f>
        <v>367.5</v>
      </c>
      <c r="G195" s="61">
        <v>367.5</v>
      </c>
      <c r="H195" s="61"/>
      <c r="I195" s="61"/>
      <c r="J195" s="63">
        <f>K195+L195+M195</f>
        <v>114.1</v>
      </c>
      <c r="K195" s="61">
        <f>12.9+101.22</f>
        <v>114.1</v>
      </c>
      <c r="L195" s="61"/>
      <c r="M195" s="61"/>
      <c r="N195" s="63">
        <f t="shared" si="138"/>
        <v>0</v>
      </c>
      <c r="O195" s="61"/>
      <c r="P195" s="61"/>
      <c r="Q195" s="61"/>
      <c r="R195" s="63">
        <f>S195+T195+U195</f>
        <v>0</v>
      </c>
      <c r="S195" s="61"/>
      <c r="T195" s="61"/>
      <c r="U195" s="61"/>
      <c r="V195" s="62">
        <f t="shared" si="130"/>
        <v>0.31</v>
      </c>
    </row>
    <row r="196" spans="1:22" ht="81.75" customHeight="1">
      <c r="A196" s="45"/>
      <c r="B196" s="17" t="s">
        <v>135</v>
      </c>
      <c r="C196" s="7">
        <v>815</v>
      </c>
      <c r="D196" s="8" t="s">
        <v>66</v>
      </c>
      <c r="E196" s="7" t="s">
        <v>375</v>
      </c>
      <c r="F196" s="63">
        <f>G196+H196+I196</f>
        <v>2931.5</v>
      </c>
      <c r="G196" s="61">
        <v>2931.5</v>
      </c>
      <c r="H196" s="61"/>
      <c r="I196" s="61"/>
      <c r="J196" s="63">
        <f>K196+L196+M196</f>
        <v>973.4</v>
      </c>
      <c r="K196" s="61">
        <f>701+16+256.39</f>
        <v>973.4</v>
      </c>
      <c r="L196" s="61"/>
      <c r="M196" s="61"/>
      <c r="N196" s="63">
        <f t="shared" si="138"/>
        <v>0</v>
      </c>
      <c r="O196" s="61"/>
      <c r="P196" s="61"/>
      <c r="Q196" s="61"/>
      <c r="R196" s="63">
        <f>S196+T196+U196</f>
        <v>0</v>
      </c>
      <c r="S196" s="61"/>
      <c r="T196" s="61"/>
      <c r="U196" s="61"/>
      <c r="V196" s="62">
        <f t="shared" si="130"/>
        <v>0.33200000000000002</v>
      </c>
    </row>
    <row r="197" spans="1:22" ht="71.25" customHeight="1">
      <c r="A197" s="45"/>
      <c r="B197" s="17" t="s">
        <v>135</v>
      </c>
      <c r="C197" s="7">
        <v>816</v>
      </c>
      <c r="D197" s="8" t="s">
        <v>71</v>
      </c>
      <c r="E197" s="7" t="s">
        <v>375</v>
      </c>
      <c r="F197" s="63">
        <f>G197+H197+I197</f>
        <v>81</v>
      </c>
      <c r="G197" s="61">
        <v>81</v>
      </c>
      <c r="H197" s="61"/>
      <c r="I197" s="61"/>
      <c r="J197" s="63">
        <f>K197+L197+M197</f>
        <v>81</v>
      </c>
      <c r="K197" s="61">
        <f>5.5+0.5+33+10+27+5</f>
        <v>81</v>
      </c>
      <c r="L197" s="61"/>
      <c r="M197" s="61"/>
      <c r="N197" s="63">
        <f t="shared" si="138"/>
        <v>0</v>
      </c>
      <c r="O197" s="61"/>
      <c r="P197" s="61"/>
      <c r="Q197" s="61"/>
      <c r="R197" s="63">
        <f>S197+T197+U197</f>
        <v>0</v>
      </c>
      <c r="S197" s="61"/>
      <c r="T197" s="61"/>
      <c r="U197" s="61"/>
      <c r="V197" s="62">
        <f t="shared" si="130"/>
        <v>1</v>
      </c>
    </row>
    <row r="198" spans="1:22" ht="66">
      <c r="A198" s="45"/>
      <c r="B198" s="17" t="s">
        <v>135</v>
      </c>
      <c r="C198" s="7">
        <v>845</v>
      </c>
      <c r="D198" s="8" t="s">
        <v>379</v>
      </c>
      <c r="E198" s="7" t="s">
        <v>375</v>
      </c>
      <c r="F198" s="63">
        <f>G198+H198+I198</f>
        <v>0</v>
      </c>
      <c r="G198" s="61"/>
      <c r="H198" s="61"/>
      <c r="I198" s="61"/>
      <c r="J198" s="63">
        <f>K198+L198+M198</f>
        <v>0</v>
      </c>
      <c r="K198" s="61"/>
      <c r="L198" s="61"/>
      <c r="M198" s="61"/>
      <c r="N198" s="63">
        <f t="shared" si="138"/>
        <v>3380</v>
      </c>
      <c r="O198" s="61">
        <v>3380</v>
      </c>
      <c r="P198" s="61"/>
      <c r="Q198" s="61"/>
      <c r="R198" s="63">
        <f>S198+T198+U198</f>
        <v>3380</v>
      </c>
      <c r="S198" s="61">
        <v>3380</v>
      </c>
      <c r="T198" s="61"/>
      <c r="U198" s="61"/>
      <c r="V198" s="62"/>
    </row>
    <row r="199" spans="1:22" s="50" customFormat="1" ht="33">
      <c r="A199" s="41" t="s">
        <v>398</v>
      </c>
      <c r="B199" s="26" t="s">
        <v>369</v>
      </c>
      <c r="C199" s="27" t="s">
        <v>13</v>
      </c>
      <c r="D199" s="27" t="s">
        <v>13</v>
      </c>
      <c r="E199" s="27" t="s">
        <v>13</v>
      </c>
      <c r="F199" s="59">
        <f t="shared" ref="F199:U199" si="140">SUM(F201:F205)</f>
        <v>19000</v>
      </c>
      <c r="G199" s="59">
        <f t="shared" si="140"/>
        <v>19000</v>
      </c>
      <c r="H199" s="59">
        <f t="shared" si="140"/>
        <v>0</v>
      </c>
      <c r="I199" s="59">
        <f t="shared" si="140"/>
        <v>0</v>
      </c>
      <c r="J199" s="59">
        <f t="shared" si="140"/>
        <v>0</v>
      </c>
      <c r="K199" s="59">
        <f t="shared" si="140"/>
        <v>0</v>
      </c>
      <c r="L199" s="59">
        <f t="shared" si="140"/>
        <v>0</v>
      </c>
      <c r="M199" s="59">
        <f t="shared" si="140"/>
        <v>0</v>
      </c>
      <c r="N199" s="59">
        <f t="shared" si="140"/>
        <v>182000</v>
      </c>
      <c r="O199" s="59">
        <f t="shared" si="140"/>
        <v>62000</v>
      </c>
      <c r="P199" s="59">
        <f t="shared" si="140"/>
        <v>120000</v>
      </c>
      <c r="Q199" s="59">
        <f t="shared" si="140"/>
        <v>0</v>
      </c>
      <c r="R199" s="59">
        <f t="shared" si="140"/>
        <v>173750</v>
      </c>
      <c r="S199" s="59">
        <f t="shared" si="140"/>
        <v>53750</v>
      </c>
      <c r="T199" s="59">
        <f t="shared" si="140"/>
        <v>120000</v>
      </c>
      <c r="U199" s="59">
        <f t="shared" si="140"/>
        <v>0</v>
      </c>
      <c r="V199" s="60">
        <f t="shared" si="130"/>
        <v>0</v>
      </c>
    </row>
    <row r="200" spans="1:22" ht="18.75">
      <c r="A200" s="45"/>
      <c r="B200" s="16" t="s">
        <v>16</v>
      </c>
      <c r="C200" s="7"/>
      <c r="D200" s="7"/>
      <c r="E200" s="7"/>
      <c r="F200" s="63"/>
      <c r="G200" s="59"/>
      <c r="H200" s="59"/>
      <c r="I200" s="59"/>
      <c r="J200" s="63"/>
      <c r="K200" s="59"/>
      <c r="L200" s="59"/>
      <c r="M200" s="59"/>
      <c r="N200" s="63"/>
      <c r="O200" s="59"/>
      <c r="P200" s="59"/>
      <c r="Q200" s="59"/>
      <c r="R200" s="63"/>
      <c r="S200" s="59"/>
      <c r="T200" s="59"/>
      <c r="U200" s="59"/>
      <c r="V200" s="60"/>
    </row>
    <row r="201" spans="1:22" ht="93.75" customHeight="1">
      <c r="A201" s="45"/>
      <c r="B201" s="17" t="s">
        <v>388</v>
      </c>
      <c r="C201" s="7">
        <v>822</v>
      </c>
      <c r="D201" s="8" t="s">
        <v>136</v>
      </c>
      <c r="E201" s="7" t="s">
        <v>387</v>
      </c>
      <c r="F201" s="63">
        <f>G201+H201+I201</f>
        <v>0</v>
      </c>
      <c r="G201" s="61"/>
      <c r="H201" s="61">
        <f>120000-120000</f>
        <v>0</v>
      </c>
      <c r="I201" s="61"/>
      <c r="J201" s="63">
        <f>K201+L201+M201</f>
        <v>0</v>
      </c>
      <c r="K201" s="61"/>
      <c r="L201" s="61"/>
      <c r="M201" s="61"/>
      <c r="N201" s="63">
        <f>O201+P201+Q201</f>
        <v>120000</v>
      </c>
      <c r="O201" s="61"/>
      <c r="P201" s="61">
        <v>120000</v>
      </c>
      <c r="Q201" s="61"/>
      <c r="R201" s="63">
        <f>S201+T201+U201</f>
        <v>120000</v>
      </c>
      <c r="S201" s="61"/>
      <c r="T201" s="61">
        <v>120000</v>
      </c>
      <c r="U201" s="61"/>
      <c r="V201" s="62"/>
    </row>
    <row r="202" spans="1:22" ht="33">
      <c r="A202" s="45"/>
      <c r="B202" s="17" t="s">
        <v>427</v>
      </c>
      <c r="C202" s="7">
        <v>804</v>
      </c>
      <c r="D202" s="8" t="s">
        <v>99</v>
      </c>
      <c r="E202" s="7" t="s">
        <v>428</v>
      </c>
      <c r="F202" s="63">
        <f>G202+H202+I202</f>
        <v>0</v>
      </c>
      <c r="G202" s="61">
        <f>8000-7700-300</f>
        <v>0</v>
      </c>
      <c r="H202" s="61"/>
      <c r="I202" s="61"/>
      <c r="J202" s="63">
        <f>K202+L202+M202</f>
        <v>0</v>
      </c>
      <c r="K202" s="61">
        <f>299.7-299.7</f>
        <v>0</v>
      </c>
      <c r="L202" s="61"/>
      <c r="M202" s="61"/>
      <c r="N202" s="63">
        <f>O202+P202+Q202</f>
        <v>0</v>
      </c>
      <c r="O202" s="61"/>
      <c r="P202" s="61"/>
      <c r="Q202" s="61"/>
      <c r="R202" s="63">
        <f>S202+T202+U202</f>
        <v>0</v>
      </c>
      <c r="S202" s="61"/>
      <c r="T202" s="61"/>
      <c r="U202" s="61"/>
      <c r="V202" s="62"/>
    </row>
    <row r="203" spans="1:22" ht="49.5">
      <c r="A203" s="45"/>
      <c r="B203" s="17" t="s">
        <v>437</v>
      </c>
      <c r="C203" s="7">
        <v>804</v>
      </c>
      <c r="D203" s="8" t="s">
        <v>99</v>
      </c>
      <c r="E203" s="7" t="s">
        <v>433</v>
      </c>
      <c r="F203" s="63">
        <f>G203+H203+I203</f>
        <v>0</v>
      </c>
      <c r="G203" s="59">
        <f>7700-7700</f>
        <v>0</v>
      </c>
      <c r="H203" s="59"/>
      <c r="I203" s="59"/>
      <c r="J203" s="63">
        <f>K203+L203+M203</f>
        <v>0</v>
      </c>
      <c r="K203" s="59"/>
      <c r="L203" s="59"/>
      <c r="M203" s="59"/>
      <c r="N203" s="63">
        <f t="shared" ref="N203:N204" si="141">O203+P203+Q203</f>
        <v>0</v>
      </c>
      <c r="O203" s="59"/>
      <c r="P203" s="59"/>
      <c r="Q203" s="59"/>
      <c r="R203" s="63">
        <f t="shared" ref="R203:R204" si="142">S203+T203+U203</f>
        <v>0</v>
      </c>
      <c r="S203" s="59"/>
      <c r="T203" s="59"/>
      <c r="U203" s="59"/>
      <c r="V203" s="60"/>
    </row>
    <row r="204" spans="1:22" ht="33">
      <c r="A204" s="45"/>
      <c r="B204" s="17" t="s">
        <v>370</v>
      </c>
      <c r="C204" s="7">
        <v>804</v>
      </c>
      <c r="D204" s="8" t="s">
        <v>99</v>
      </c>
      <c r="E204" s="7" t="s">
        <v>371</v>
      </c>
      <c r="F204" s="63">
        <f>G204+H204+I204</f>
        <v>19000</v>
      </c>
      <c r="G204" s="59">
        <f>19000+8000-8000</f>
        <v>19000</v>
      </c>
      <c r="H204" s="59"/>
      <c r="I204" s="59"/>
      <c r="J204" s="63">
        <f>K204+L204+M204</f>
        <v>0</v>
      </c>
      <c r="K204" s="59"/>
      <c r="L204" s="59"/>
      <c r="M204" s="59"/>
      <c r="N204" s="63">
        <f t="shared" si="141"/>
        <v>0</v>
      </c>
      <c r="O204" s="59"/>
      <c r="P204" s="59"/>
      <c r="Q204" s="59"/>
      <c r="R204" s="63">
        <f t="shared" si="142"/>
        <v>0</v>
      </c>
      <c r="S204" s="59"/>
      <c r="T204" s="59"/>
      <c r="U204" s="59"/>
      <c r="V204" s="60">
        <f t="shared" si="130"/>
        <v>0</v>
      </c>
    </row>
    <row r="205" spans="1:22" ht="33">
      <c r="A205" s="45"/>
      <c r="B205" s="17" t="s">
        <v>370</v>
      </c>
      <c r="C205" s="7">
        <v>822</v>
      </c>
      <c r="D205" s="8" t="s">
        <v>136</v>
      </c>
      <c r="E205" s="7" t="s">
        <v>371</v>
      </c>
      <c r="F205" s="63">
        <f>G205+H205+I205</f>
        <v>0</v>
      </c>
      <c r="G205" s="61"/>
      <c r="H205" s="61"/>
      <c r="I205" s="61"/>
      <c r="J205" s="63">
        <f>K205+L205+M205</f>
        <v>0</v>
      </c>
      <c r="K205" s="61"/>
      <c r="L205" s="61"/>
      <c r="M205" s="61"/>
      <c r="N205" s="63">
        <f t="shared" ref="N205" si="143">O205+P205+Q205</f>
        <v>62000</v>
      </c>
      <c r="O205" s="61">
        <v>62000</v>
      </c>
      <c r="P205" s="61"/>
      <c r="Q205" s="61"/>
      <c r="R205" s="63">
        <f>S205+T205+U205</f>
        <v>53750</v>
      </c>
      <c r="S205" s="61">
        <v>53750</v>
      </c>
      <c r="T205" s="61"/>
      <c r="U205" s="61"/>
      <c r="V205" s="62"/>
    </row>
    <row r="206" spans="1:22" ht="18.75">
      <c r="A206" s="46" t="s">
        <v>137</v>
      </c>
      <c r="B206" s="21" t="s">
        <v>138</v>
      </c>
      <c r="C206" s="1" t="s">
        <v>13</v>
      </c>
      <c r="D206" s="1" t="s">
        <v>13</v>
      </c>
      <c r="E206" s="1" t="s">
        <v>13</v>
      </c>
      <c r="F206" s="57">
        <f t="shared" ref="F206:U206" si="144">F207+F215+F218</f>
        <v>72954.100000000006</v>
      </c>
      <c r="G206" s="57">
        <f t="shared" si="144"/>
        <v>34080.699999999997</v>
      </c>
      <c r="H206" s="57">
        <f t="shared" ref="H206" si="145">H207+H215+H218</f>
        <v>38218.199999999997</v>
      </c>
      <c r="I206" s="57">
        <f t="shared" si="144"/>
        <v>655.20000000000005</v>
      </c>
      <c r="J206" s="57">
        <f t="shared" si="144"/>
        <v>59609.2</v>
      </c>
      <c r="K206" s="57">
        <f t="shared" si="144"/>
        <v>28655.3</v>
      </c>
      <c r="L206" s="57">
        <f t="shared" si="144"/>
        <v>30412.3</v>
      </c>
      <c r="M206" s="57">
        <f t="shared" si="144"/>
        <v>541.6</v>
      </c>
      <c r="N206" s="57">
        <f t="shared" si="144"/>
        <v>54810.8</v>
      </c>
      <c r="O206" s="57">
        <f t="shared" si="144"/>
        <v>32512.3</v>
      </c>
      <c r="P206" s="57">
        <f t="shared" si="144"/>
        <v>22148.5</v>
      </c>
      <c r="Q206" s="57">
        <f t="shared" si="144"/>
        <v>150</v>
      </c>
      <c r="R206" s="57">
        <f t="shared" si="144"/>
        <v>99460.4</v>
      </c>
      <c r="S206" s="57">
        <f t="shared" si="144"/>
        <v>1836.1</v>
      </c>
      <c r="T206" s="57">
        <f t="shared" si="144"/>
        <v>97624.3</v>
      </c>
      <c r="U206" s="57">
        <f t="shared" si="144"/>
        <v>0</v>
      </c>
      <c r="V206" s="58">
        <f t="shared" si="130"/>
        <v>0.81699999999999995</v>
      </c>
    </row>
    <row r="207" spans="1:22" ht="33">
      <c r="A207" s="44" t="s">
        <v>139</v>
      </c>
      <c r="B207" s="15" t="s">
        <v>140</v>
      </c>
      <c r="C207" s="6" t="s">
        <v>13</v>
      </c>
      <c r="D207" s="6" t="s">
        <v>13</v>
      </c>
      <c r="E207" s="6" t="s">
        <v>13</v>
      </c>
      <c r="F207" s="63">
        <f t="shared" ref="F207:T207" si="146">SUM(F209:F214)</f>
        <v>52188.5</v>
      </c>
      <c r="G207" s="59">
        <f t="shared" si="146"/>
        <v>13315.1</v>
      </c>
      <c r="H207" s="59">
        <f t="shared" ref="H207" si="147">SUM(H209:H214)</f>
        <v>38218.199999999997</v>
      </c>
      <c r="I207" s="59">
        <f t="shared" si="146"/>
        <v>655.20000000000005</v>
      </c>
      <c r="J207" s="63">
        <f t="shared" si="146"/>
        <v>43512.1</v>
      </c>
      <c r="K207" s="59">
        <f t="shared" si="146"/>
        <v>12558.2</v>
      </c>
      <c r="L207" s="59">
        <f t="shared" si="146"/>
        <v>30412.3</v>
      </c>
      <c r="M207" s="59">
        <f t="shared" si="146"/>
        <v>541.6</v>
      </c>
      <c r="N207" s="63">
        <f t="shared" si="146"/>
        <v>25810.799999999999</v>
      </c>
      <c r="O207" s="59">
        <f t="shared" si="146"/>
        <v>3512.3</v>
      </c>
      <c r="P207" s="59">
        <f t="shared" si="146"/>
        <v>22148.5</v>
      </c>
      <c r="Q207" s="59">
        <f t="shared" si="146"/>
        <v>150</v>
      </c>
      <c r="R207" s="63">
        <f t="shared" si="146"/>
        <v>93760.4</v>
      </c>
      <c r="S207" s="59">
        <f t="shared" si="146"/>
        <v>1836.1</v>
      </c>
      <c r="T207" s="59">
        <f t="shared" si="146"/>
        <v>91924.3</v>
      </c>
      <c r="U207" s="59">
        <f>SUM(U209:U214)</f>
        <v>0</v>
      </c>
      <c r="V207" s="60">
        <f t="shared" si="130"/>
        <v>0.83399999999999996</v>
      </c>
    </row>
    <row r="208" spans="1:22" ht="18.75">
      <c r="A208" s="45"/>
      <c r="B208" s="16" t="s">
        <v>16</v>
      </c>
      <c r="C208" s="7"/>
      <c r="D208" s="7"/>
      <c r="E208" s="7"/>
      <c r="F208" s="63"/>
      <c r="G208" s="59"/>
      <c r="H208" s="59"/>
      <c r="I208" s="59"/>
      <c r="J208" s="63"/>
      <c r="K208" s="59"/>
      <c r="L208" s="59"/>
      <c r="M208" s="59"/>
      <c r="N208" s="63"/>
      <c r="O208" s="59"/>
      <c r="P208" s="59"/>
      <c r="Q208" s="59"/>
      <c r="R208" s="63"/>
      <c r="S208" s="59"/>
      <c r="T208" s="59"/>
      <c r="U208" s="59"/>
      <c r="V208" s="60"/>
    </row>
    <row r="209" spans="1:22" ht="33">
      <c r="A209" s="47"/>
      <c r="B209" s="32" t="s">
        <v>263</v>
      </c>
      <c r="C209" s="29">
        <v>821</v>
      </c>
      <c r="D209" s="31" t="s">
        <v>20</v>
      </c>
      <c r="E209" s="29" t="s">
        <v>264</v>
      </c>
      <c r="F209" s="59">
        <f t="shared" ref="F209:F214" si="148">G209+H209+I209</f>
        <v>15237.6</v>
      </c>
      <c r="G209" s="61">
        <f>2479</f>
        <v>2479</v>
      </c>
      <c r="H209" s="61">
        <v>12103.4</v>
      </c>
      <c r="I209" s="61">
        <v>655.20000000000005</v>
      </c>
      <c r="J209" s="59">
        <f t="shared" ref="J209:J214" si="149">K209+L209+M209</f>
        <v>12594.7</v>
      </c>
      <c r="K209" s="61">
        <v>2049</v>
      </c>
      <c r="L209" s="61">
        <v>10004.1</v>
      </c>
      <c r="M209" s="61">
        <v>541.6</v>
      </c>
      <c r="N209" s="59">
        <f t="shared" ref="N209:N214" si="150">O209+P209+Q209</f>
        <v>20810.8</v>
      </c>
      <c r="O209" s="61">
        <v>3512.3</v>
      </c>
      <c r="P209" s="61">
        <v>17148.5</v>
      </c>
      <c r="Q209" s="61">
        <v>150</v>
      </c>
      <c r="R209" s="59">
        <f t="shared" ref="R209:R214" si="151">S209+T209+U209</f>
        <v>0</v>
      </c>
      <c r="S209" s="61"/>
      <c r="T209" s="61"/>
      <c r="U209" s="61"/>
      <c r="V209" s="62">
        <f t="shared" si="130"/>
        <v>0.82699999999999996</v>
      </c>
    </row>
    <row r="210" spans="1:22" ht="18.75">
      <c r="A210" s="47"/>
      <c r="B210" s="32" t="s">
        <v>263</v>
      </c>
      <c r="C210" s="29">
        <v>814</v>
      </c>
      <c r="D210" s="31" t="s">
        <v>141</v>
      </c>
      <c r="E210" s="29" t="s">
        <v>264</v>
      </c>
      <c r="F210" s="59">
        <f t="shared" si="148"/>
        <v>22950.9</v>
      </c>
      <c r="G210" s="61">
        <f>1836.1-0.03</f>
        <v>1836.1</v>
      </c>
      <c r="H210" s="61">
        <v>21114.799999999999</v>
      </c>
      <c r="I210" s="61"/>
      <c r="J210" s="59">
        <f t="shared" si="149"/>
        <v>22182.799999999999</v>
      </c>
      <c r="K210" s="61">
        <f>1759.3+9.36+5.96</f>
        <v>1774.6</v>
      </c>
      <c r="L210" s="61">
        <v>20408.2</v>
      </c>
      <c r="M210" s="61"/>
      <c r="N210" s="59">
        <f t="shared" si="150"/>
        <v>0</v>
      </c>
      <c r="O210" s="61"/>
      <c r="P210" s="61"/>
      <c r="Q210" s="61"/>
      <c r="R210" s="59">
        <f t="shared" si="151"/>
        <v>22950.9</v>
      </c>
      <c r="S210" s="61">
        <f>1836.1-0.03</f>
        <v>1836.1</v>
      </c>
      <c r="T210" s="61">
        <v>21114.799999999999</v>
      </c>
      <c r="U210" s="61"/>
      <c r="V210" s="62">
        <f t="shared" si="130"/>
        <v>0.96699999999999997</v>
      </c>
    </row>
    <row r="211" spans="1:22" ht="33">
      <c r="A211" s="47"/>
      <c r="B211" s="32" t="s">
        <v>261</v>
      </c>
      <c r="C211" s="29">
        <v>844</v>
      </c>
      <c r="D211" s="31" t="s">
        <v>260</v>
      </c>
      <c r="E211" s="29" t="s">
        <v>262</v>
      </c>
      <c r="F211" s="59">
        <f t="shared" si="148"/>
        <v>0</v>
      </c>
      <c r="G211" s="61"/>
      <c r="H211" s="61"/>
      <c r="I211" s="61"/>
      <c r="J211" s="59">
        <f t="shared" si="149"/>
        <v>0</v>
      </c>
      <c r="K211" s="61"/>
      <c r="L211" s="61"/>
      <c r="M211" s="61"/>
      <c r="N211" s="59">
        <f t="shared" si="150"/>
        <v>0</v>
      </c>
      <c r="O211" s="61"/>
      <c r="P211" s="61"/>
      <c r="Q211" s="61"/>
      <c r="R211" s="59">
        <f t="shared" si="151"/>
        <v>65809.5</v>
      </c>
      <c r="S211" s="61"/>
      <c r="T211" s="61">
        <v>65809.5</v>
      </c>
      <c r="U211" s="61"/>
      <c r="V211" s="62"/>
    </row>
    <row r="212" spans="1:22" ht="18.75">
      <c r="A212" s="47"/>
      <c r="B212" s="32" t="s">
        <v>258</v>
      </c>
      <c r="C212" s="29">
        <v>814</v>
      </c>
      <c r="D212" s="31" t="s">
        <v>141</v>
      </c>
      <c r="E212" s="29" t="s">
        <v>259</v>
      </c>
      <c r="F212" s="59">
        <f t="shared" si="148"/>
        <v>5000</v>
      </c>
      <c r="G212" s="61"/>
      <c r="H212" s="61">
        <v>5000</v>
      </c>
      <c r="I212" s="61"/>
      <c r="J212" s="59">
        <f t="shared" si="149"/>
        <v>0</v>
      </c>
      <c r="K212" s="61"/>
      <c r="L212" s="61"/>
      <c r="M212" s="61"/>
      <c r="N212" s="59">
        <f t="shared" si="150"/>
        <v>5000</v>
      </c>
      <c r="O212" s="61"/>
      <c r="P212" s="61">
        <v>5000</v>
      </c>
      <c r="Q212" s="61"/>
      <c r="R212" s="59">
        <f t="shared" si="151"/>
        <v>5000</v>
      </c>
      <c r="S212" s="61"/>
      <c r="T212" s="61">
        <v>5000</v>
      </c>
      <c r="U212" s="61"/>
      <c r="V212" s="62">
        <f t="shared" si="130"/>
        <v>0</v>
      </c>
    </row>
    <row r="213" spans="1:22" ht="18.75">
      <c r="A213" s="47"/>
      <c r="B213" s="32" t="s">
        <v>263</v>
      </c>
      <c r="C213" s="29">
        <v>814</v>
      </c>
      <c r="D213" s="31" t="s">
        <v>141</v>
      </c>
      <c r="E213" s="29" t="s">
        <v>377</v>
      </c>
      <c r="F213" s="59">
        <f t="shared" si="148"/>
        <v>4000</v>
      </c>
      <c r="G213" s="61">
        <v>4000</v>
      </c>
      <c r="H213" s="61"/>
      <c r="I213" s="61"/>
      <c r="J213" s="59">
        <f t="shared" si="149"/>
        <v>4000</v>
      </c>
      <c r="K213" s="61">
        <f>1420+198.8+6.72+164+61.33+58.05+74.33+1966.53+48.7+1.55</f>
        <v>4000</v>
      </c>
      <c r="L213" s="61"/>
      <c r="M213" s="61"/>
      <c r="N213" s="59">
        <f t="shared" si="150"/>
        <v>0</v>
      </c>
      <c r="O213" s="61"/>
      <c r="P213" s="61"/>
      <c r="Q213" s="61"/>
      <c r="R213" s="59">
        <f t="shared" si="151"/>
        <v>0</v>
      </c>
      <c r="S213" s="61"/>
      <c r="T213" s="61"/>
      <c r="U213" s="61"/>
      <c r="V213" s="62">
        <f t="shared" si="130"/>
        <v>1</v>
      </c>
    </row>
    <row r="214" spans="1:22" ht="18.75">
      <c r="A214" s="47"/>
      <c r="B214" s="32" t="s">
        <v>258</v>
      </c>
      <c r="C214" s="29">
        <v>814</v>
      </c>
      <c r="D214" s="31" t="s">
        <v>141</v>
      </c>
      <c r="E214" s="29" t="s">
        <v>340</v>
      </c>
      <c r="F214" s="59">
        <f t="shared" si="148"/>
        <v>5000</v>
      </c>
      <c r="G214" s="61">
        <v>5000</v>
      </c>
      <c r="H214" s="61"/>
      <c r="I214" s="61">
        <v>0</v>
      </c>
      <c r="J214" s="59">
        <f t="shared" si="149"/>
        <v>4734.6000000000004</v>
      </c>
      <c r="K214" s="61">
        <f>929.3+419.96+1102.83+45+922.4+141.41+191.54+626.08+356.1</f>
        <v>4734.6000000000004</v>
      </c>
      <c r="L214" s="61"/>
      <c r="M214" s="61"/>
      <c r="N214" s="59">
        <f t="shared" si="150"/>
        <v>0</v>
      </c>
      <c r="O214" s="61"/>
      <c r="P214" s="61"/>
      <c r="Q214" s="61"/>
      <c r="R214" s="59">
        <f t="shared" si="151"/>
        <v>0</v>
      </c>
      <c r="S214" s="61"/>
      <c r="T214" s="61"/>
      <c r="U214" s="61"/>
      <c r="V214" s="62">
        <f t="shared" si="130"/>
        <v>0.94699999999999995</v>
      </c>
    </row>
    <row r="215" spans="1:22" ht="18.75">
      <c r="A215" s="41" t="s">
        <v>142</v>
      </c>
      <c r="B215" s="26" t="s">
        <v>143</v>
      </c>
      <c r="C215" s="27" t="s">
        <v>13</v>
      </c>
      <c r="D215" s="27" t="s">
        <v>13</v>
      </c>
      <c r="E215" s="27" t="s">
        <v>13</v>
      </c>
      <c r="F215" s="59">
        <f t="shared" ref="F215:U215" si="152">SUM(F217)</f>
        <v>0</v>
      </c>
      <c r="G215" s="59">
        <f t="shared" si="152"/>
        <v>0</v>
      </c>
      <c r="H215" s="59">
        <f t="shared" ref="H215" si="153">SUM(H217)</f>
        <v>0</v>
      </c>
      <c r="I215" s="59">
        <f t="shared" si="152"/>
        <v>0</v>
      </c>
      <c r="J215" s="59">
        <f t="shared" si="152"/>
        <v>0</v>
      </c>
      <c r="K215" s="59">
        <f t="shared" si="152"/>
        <v>0</v>
      </c>
      <c r="L215" s="59">
        <f t="shared" si="152"/>
        <v>0</v>
      </c>
      <c r="M215" s="59">
        <f t="shared" si="152"/>
        <v>0</v>
      </c>
      <c r="N215" s="59">
        <f t="shared" si="152"/>
        <v>0</v>
      </c>
      <c r="O215" s="59">
        <f t="shared" si="152"/>
        <v>0</v>
      </c>
      <c r="P215" s="59">
        <f t="shared" si="152"/>
        <v>0</v>
      </c>
      <c r="Q215" s="59">
        <f t="shared" si="152"/>
        <v>0</v>
      </c>
      <c r="R215" s="59">
        <f t="shared" si="152"/>
        <v>5700</v>
      </c>
      <c r="S215" s="59">
        <f t="shared" si="152"/>
        <v>0</v>
      </c>
      <c r="T215" s="59">
        <f t="shared" si="152"/>
        <v>5700</v>
      </c>
      <c r="U215" s="59">
        <f t="shared" si="152"/>
        <v>0</v>
      </c>
      <c r="V215" s="60"/>
    </row>
    <row r="216" spans="1:22" ht="18.75">
      <c r="A216" s="47"/>
      <c r="B216" s="30" t="s">
        <v>16</v>
      </c>
      <c r="C216" s="29"/>
      <c r="D216" s="31"/>
      <c r="E216" s="2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60"/>
    </row>
    <row r="217" spans="1:22" ht="18.75">
      <c r="A217" s="47"/>
      <c r="B217" s="32" t="s">
        <v>144</v>
      </c>
      <c r="C217" s="29">
        <v>814</v>
      </c>
      <c r="D217" s="31" t="s">
        <v>141</v>
      </c>
      <c r="E217" s="29" t="s">
        <v>265</v>
      </c>
      <c r="F217" s="59">
        <f>G217+H217+I217</f>
        <v>0</v>
      </c>
      <c r="G217" s="61"/>
      <c r="H217" s="61"/>
      <c r="I217" s="61"/>
      <c r="J217" s="59">
        <f>K217+L217+M217</f>
        <v>0</v>
      </c>
      <c r="K217" s="61"/>
      <c r="L217" s="61"/>
      <c r="M217" s="61"/>
      <c r="N217" s="59">
        <f t="shared" ref="N217" si="154">O217+P217+Q217</f>
        <v>0</v>
      </c>
      <c r="O217" s="61"/>
      <c r="P217" s="61"/>
      <c r="Q217" s="61"/>
      <c r="R217" s="59">
        <f>S217+T217+U217</f>
        <v>5700</v>
      </c>
      <c r="S217" s="61"/>
      <c r="T217" s="61">
        <v>5700</v>
      </c>
      <c r="U217" s="61"/>
      <c r="V217" s="62"/>
    </row>
    <row r="218" spans="1:22" ht="18.75">
      <c r="A218" s="41" t="s">
        <v>458</v>
      </c>
      <c r="B218" s="26" t="s">
        <v>145</v>
      </c>
      <c r="C218" s="27" t="s">
        <v>13</v>
      </c>
      <c r="D218" s="27" t="s">
        <v>13</v>
      </c>
      <c r="E218" s="27" t="s">
        <v>13</v>
      </c>
      <c r="F218" s="59">
        <f>SUM(F220:F224)</f>
        <v>20765.599999999999</v>
      </c>
      <c r="G218" s="59">
        <f>SUM(G220:G224)</f>
        <v>20765.599999999999</v>
      </c>
      <c r="H218" s="59">
        <f t="shared" ref="H218" si="155">SUM(H220:H224)</f>
        <v>0</v>
      </c>
      <c r="I218" s="59">
        <f t="shared" ref="I218:U218" si="156">SUM(I220:I224)</f>
        <v>0</v>
      </c>
      <c r="J218" s="59">
        <f t="shared" si="156"/>
        <v>16097.1</v>
      </c>
      <c r="K218" s="59">
        <f t="shared" si="156"/>
        <v>16097.1</v>
      </c>
      <c r="L218" s="59">
        <f t="shared" si="156"/>
        <v>0</v>
      </c>
      <c r="M218" s="59">
        <f t="shared" si="156"/>
        <v>0</v>
      </c>
      <c r="N218" s="59">
        <f t="shared" si="156"/>
        <v>29000</v>
      </c>
      <c r="O218" s="59">
        <f t="shared" si="156"/>
        <v>29000</v>
      </c>
      <c r="P218" s="59">
        <f t="shared" si="156"/>
        <v>0</v>
      </c>
      <c r="Q218" s="59">
        <f t="shared" si="156"/>
        <v>0</v>
      </c>
      <c r="R218" s="59">
        <f t="shared" si="156"/>
        <v>0</v>
      </c>
      <c r="S218" s="59">
        <f t="shared" si="156"/>
        <v>0</v>
      </c>
      <c r="T218" s="59">
        <f t="shared" si="156"/>
        <v>0</v>
      </c>
      <c r="U218" s="59">
        <f t="shared" si="156"/>
        <v>0</v>
      </c>
      <c r="V218" s="60">
        <f t="shared" si="130"/>
        <v>0.77500000000000002</v>
      </c>
    </row>
    <row r="219" spans="1:22" ht="18.75">
      <c r="A219" s="47"/>
      <c r="B219" s="30" t="s">
        <v>16</v>
      </c>
      <c r="C219" s="29"/>
      <c r="D219" s="31"/>
      <c r="E219" s="29"/>
      <c r="F219" s="59"/>
      <c r="G219" s="59"/>
      <c r="H219" s="59"/>
      <c r="I219" s="59"/>
      <c r="J219" s="59">
        <f t="shared" ref="J219:J224" si="157">K219+L219+M219</f>
        <v>0</v>
      </c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60"/>
    </row>
    <row r="220" spans="1:22" ht="33">
      <c r="A220" s="47"/>
      <c r="B220" s="32" t="s">
        <v>146</v>
      </c>
      <c r="C220" s="29">
        <v>814</v>
      </c>
      <c r="D220" s="31" t="s">
        <v>141</v>
      </c>
      <c r="E220" s="29" t="s">
        <v>333</v>
      </c>
      <c r="F220" s="59">
        <f t="shared" ref="F220:F224" si="158">G220+H220+I220</f>
        <v>10845.6</v>
      </c>
      <c r="G220" s="61">
        <f>13000-2154.4</f>
        <v>10845.6</v>
      </c>
      <c r="H220" s="61"/>
      <c r="I220" s="61"/>
      <c r="J220" s="59">
        <f t="shared" si="157"/>
        <v>10845.6</v>
      </c>
      <c r="K220" s="61">
        <v>10845.6</v>
      </c>
      <c r="L220" s="61"/>
      <c r="M220" s="61"/>
      <c r="N220" s="59">
        <f t="shared" ref="N220:N224" si="159">O220+P220+Q220</f>
        <v>13000</v>
      </c>
      <c r="O220" s="61">
        <v>13000</v>
      </c>
      <c r="P220" s="61"/>
      <c r="Q220" s="61"/>
      <c r="R220" s="59">
        <f t="shared" ref="R220:R224" si="160">S220+T220+U220</f>
        <v>0</v>
      </c>
      <c r="S220" s="61"/>
      <c r="T220" s="61"/>
      <c r="U220" s="61"/>
      <c r="V220" s="62">
        <f t="shared" si="130"/>
        <v>1</v>
      </c>
    </row>
    <row r="221" spans="1:22" ht="82.5">
      <c r="A221" s="47"/>
      <c r="B221" s="32" t="s">
        <v>339</v>
      </c>
      <c r="C221" s="29">
        <v>814</v>
      </c>
      <c r="D221" s="31" t="s">
        <v>141</v>
      </c>
      <c r="E221" s="29" t="s">
        <v>338</v>
      </c>
      <c r="F221" s="59">
        <f t="shared" si="158"/>
        <v>384.5</v>
      </c>
      <c r="G221" s="61">
        <f>16000-15000-615.54</f>
        <v>384.5</v>
      </c>
      <c r="H221" s="61"/>
      <c r="I221" s="61"/>
      <c r="J221" s="59">
        <f t="shared" si="157"/>
        <v>384.5</v>
      </c>
      <c r="K221" s="61">
        <v>384.5</v>
      </c>
      <c r="L221" s="61"/>
      <c r="M221" s="61"/>
      <c r="N221" s="59">
        <f t="shared" si="159"/>
        <v>16000</v>
      </c>
      <c r="O221" s="61">
        <v>16000</v>
      </c>
      <c r="P221" s="61"/>
      <c r="Q221" s="61"/>
      <c r="R221" s="59">
        <f t="shared" si="160"/>
        <v>0</v>
      </c>
      <c r="S221" s="61"/>
      <c r="T221" s="61"/>
      <c r="U221" s="61"/>
      <c r="V221" s="62">
        <f t="shared" si="130"/>
        <v>1</v>
      </c>
    </row>
    <row r="222" spans="1:22" ht="51" customHeight="1">
      <c r="A222" s="47"/>
      <c r="B222" s="32" t="s">
        <v>332</v>
      </c>
      <c r="C222" s="29">
        <v>814</v>
      </c>
      <c r="D222" s="31" t="s">
        <v>141</v>
      </c>
      <c r="E222" s="29" t="s">
        <v>331</v>
      </c>
      <c r="F222" s="59">
        <f t="shared" si="158"/>
        <v>5535.5</v>
      </c>
      <c r="G222" s="61">
        <f>8460-2040-884.5+0.04</f>
        <v>5535.5</v>
      </c>
      <c r="H222" s="61"/>
      <c r="I222" s="61"/>
      <c r="J222" s="59">
        <f t="shared" si="157"/>
        <v>2501.8000000000002</v>
      </c>
      <c r="K222" s="61">
        <f>1599.6+902.22</f>
        <v>2501.8000000000002</v>
      </c>
      <c r="L222" s="61"/>
      <c r="M222" s="61"/>
      <c r="N222" s="59">
        <f t="shared" si="159"/>
        <v>0</v>
      </c>
      <c r="O222" s="61"/>
      <c r="P222" s="61"/>
      <c r="Q222" s="61"/>
      <c r="R222" s="59">
        <f t="shared" si="160"/>
        <v>0</v>
      </c>
      <c r="S222" s="61"/>
      <c r="T222" s="61"/>
      <c r="U222" s="61"/>
      <c r="V222" s="62">
        <f t="shared" si="130"/>
        <v>0.45200000000000001</v>
      </c>
    </row>
    <row r="223" spans="1:22" ht="49.5">
      <c r="A223" s="47"/>
      <c r="B223" s="32" t="s">
        <v>335</v>
      </c>
      <c r="C223" s="29">
        <v>814</v>
      </c>
      <c r="D223" s="31" t="s">
        <v>141</v>
      </c>
      <c r="E223" s="29" t="s">
        <v>334</v>
      </c>
      <c r="F223" s="59">
        <f t="shared" si="158"/>
        <v>2000</v>
      </c>
      <c r="G223" s="61">
        <v>2000</v>
      </c>
      <c r="H223" s="61"/>
      <c r="I223" s="61"/>
      <c r="J223" s="59">
        <f t="shared" si="157"/>
        <v>552.9</v>
      </c>
      <c r="K223" s="61">
        <v>552.9</v>
      </c>
      <c r="L223" s="61"/>
      <c r="M223" s="61"/>
      <c r="N223" s="59">
        <f t="shared" si="159"/>
        <v>0</v>
      </c>
      <c r="O223" s="61"/>
      <c r="P223" s="61"/>
      <c r="Q223" s="61"/>
      <c r="R223" s="59">
        <f t="shared" si="160"/>
        <v>0</v>
      </c>
      <c r="S223" s="61"/>
      <c r="T223" s="61"/>
      <c r="U223" s="61"/>
      <c r="V223" s="62">
        <f t="shared" si="130"/>
        <v>0.27600000000000002</v>
      </c>
    </row>
    <row r="224" spans="1:22" ht="33">
      <c r="A224" s="47"/>
      <c r="B224" s="32" t="s">
        <v>337</v>
      </c>
      <c r="C224" s="29">
        <v>814</v>
      </c>
      <c r="D224" s="31" t="s">
        <v>141</v>
      </c>
      <c r="E224" s="29" t="s">
        <v>336</v>
      </c>
      <c r="F224" s="59">
        <f t="shared" si="158"/>
        <v>2000</v>
      </c>
      <c r="G224" s="61">
        <v>2000</v>
      </c>
      <c r="H224" s="61"/>
      <c r="I224" s="61"/>
      <c r="J224" s="59">
        <f t="shared" si="157"/>
        <v>1812.3</v>
      </c>
      <c r="K224" s="61">
        <f>75+73.63+25.42+1638.21</f>
        <v>1812.3</v>
      </c>
      <c r="L224" s="61"/>
      <c r="M224" s="61"/>
      <c r="N224" s="59">
        <f t="shared" si="159"/>
        <v>0</v>
      </c>
      <c r="O224" s="61"/>
      <c r="P224" s="61"/>
      <c r="Q224" s="61"/>
      <c r="R224" s="59">
        <f t="shared" si="160"/>
        <v>0</v>
      </c>
      <c r="S224" s="61"/>
      <c r="T224" s="61"/>
      <c r="U224" s="61"/>
      <c r="V224" s="62">
        <f t="shared" si="130"/>
        <v>0.90600000000000003</v>
      </c>
    </row>
    <row r="225" spans="1:22" ht="66">
      <c r="A225" s="46" t="s">
        <v>147</v>
      </c>
      <c r="B225" s="22" t="s">
        <v>148</v>
      </c>
      <c r="C225" s="1" t="s">
        <v>13</v>
      </c>
      <c r="D225" s="1" t="s">
        <v>13</v>
      </c>
      <c r="E225" s="1" t="s">
        <v>13</v>
      </c>
      <c r="F225" s="57">
        <f t="shared" ref="F225:U225" si="161">F226+F232+F238+F241</f>
        <v>413651</v>
      </c>
      <c r="G225" s="57">
        <f t="shared" si="161"/>
        <v>13373.6</v>
      </c>
      <c r="H225" s="57">
        <f t="shared" si="161"/>
        <v>399415.1</v>
      </c>
      <c r="I225" s="57">
        <f t="shared" si="161"/>
        <v>862.3</v>
      </c>
      <c r="J225" s="57">
        <f t="shared" si="161"/>
        <v>408967.5</v>
      </c>
      <c r="K225" s="57">
        <f t="shared" si="161"/>
        <v>13044.1</v>
      </c>
      <c r="L225" s="57">
        <f t="shared" si="161"/>
        <v>395148.9</v>
      </c>
      <c r="M225" s="57">
        <f t="shared" si="161"/>
        <v>774.5</v>
      </c>
      <c r="N225" s="57">
        <f t="shared" si="161"/>
        <v>113776</v>
      </c>
      <c r="O225" s="57">
        <f t="shared" si="161"/>
        <v>3413.3</v>
      </c>
      <c r="P225" s="57">
        <f t="shared" si="161"/>
        <v>110362.2</v>
      </c>
      <c r="Q225" s="57">
        <f t="shared" si="161"/>
        <v>0.5</v>
      </c>
      <c r="R225" s="57">
        <f t="shared" si="161"/>
        <v>228335.6</v>
      </c>
      <c r="S225" s="57">
        <f t="shared" si="161"/>
        <v>6850.1</v>
      </c>
      <c r="T225" s="57">
        <f t="shared" si="161"/>
        <v>221485</v>
      </c>
      <c r="U225" s="57">
        <f t="shared" si="161"/>
        <v>0.5</v>
      </c>
      <c r="V225" s="58">
        <f t="shared" si="130"/>
        <v>0.98899999999999999</v>
      </c>
    </row>
    <row r="226" spans="1:22" ht="82.5">
      <c r="A226" s="44" t="s">
        <v>149</v>
      </c>
      <c r="B226" s="15" t="s">
        <v>150</v>
      </c>
      <c r="C226" s="6" t="s">
        <v>13</v>
      </c>
      <c r="D226" s="6" t="s">
        <v>13</v>
      </c>
      <c r="E226" s="6" t="s">
        <v>13</v>
      </c>
      <c r="F226" s="63">
        <f>SUM(F228:F231)</f>
        <v>255129.2</v>
      </c>
      <c r="G226" s="63">
        <f t="shared" ref="G226:U226" si="162">SUM(G228:G231)</f>
        <v>7653.8</v>
      </c>
      <c r="H226" s="63">
        <f t="shared" si="162"/>
        <v>247475.4</v>
      </c>
      <c r="I226" s="63">
        <f t="shared" si="162"/>
        <v>0</v>
      </c>
      <c r="J226" s="63">
        <f t="shared" si="162"/>
        <v>255129.2</v>
      </c>
      <c r="K226" s="63">
        <f t="shared" si="162"/>
        <v>7653.8</v>
      </c>
      <c r="L226" s="63">
        <f t="shared" si="162"/>
        <v>247475.4</v>
      </c>
      <c r="M226" s="63">
        <f t="shared" si="162"/>
        <v>0</v>
      </c>
      <c r="N226" s="63">
        <f t="shared" si="162"/>
        <v>15753.1</v>
      </c>
      <c r="O226" s="63">
        <f t="shared" si="162"/>
        <v>472.5</v>
      </c>
      <c r="P226" s="63">
        <f t="shared" si="162"/>
        <v>15280.6</v>
      </c>
      <c r="Q226" s="63">
        <f t="shared" si="162"/>
        <v>0</v>
      </c>
      <c r="R226" s="63">
        <f t="shared" si="162"/>
        <v>110786.9</v>
      </c>
      <c r="S226" s="63">
        <f t="shared" si="162"/>
        <v>3323.6</v>
      </c>
      <c r="T226" s="63">
        <f t="shared" si="162"/>
        <v>107463.3</v>
      </c>
      <c r="U226" s="63">
        <f t="shared" si="162"/>
        <v>0</v>
      </c>
      <c r="V226" s="66">
        <f t="shared" si="130"/>
        <v>1</v>
      </c>
    </row>
    <row r="227" spans="1:22" ht="18.75">
      <c r="A227" s="45"/>
      <c r="B227" s="18" t="s">
        <v>16</v>
      </c>
      <c r="C227" s="7"/>
      <c r="D227" s="7"/>
      <c r="E227" s="7"/>
      <c r="F227" s="63"/>
      <c r="G227" s="59"/>
      <c r="H227" s="59"/>
      <c r="I227" s="59"/>
      <c r="J227" s="63"/>
      <c r="K227" s="59"/>
      <c r="L227" s="59"/>
      <c r="M227" s="59"/>
      <c r="N227" s="63"/>
      <c r="O227" s="59"/>
      <c r="P227" s="59"/>
      <c r="Q227" s="59"/>
      <c r="R227" s="63"/>
      <c r="S227" s="59"/>
      <c r="T227" s="59"/>
      <c r="U227" s="59"/>
      <c r="V227" s="60"/>
    </row>
    <row r="228" spans="1:22" ht="49.5">
      <c r="A228" s="49"/>
      <c r="B228" s="38" t="s">
        <v>187</v>
      </c>
      <c r="C228" s="39">
        <v>840</v>
      </c>
      <c r="D228" s="40" t="s">
        <v>96</v>
      </c>
      <c r="E228" s="39" t="s">
        <v>182</v>
      </c>
      <c r="F228" s="67">
        <f>G228+H228+I228</f>
        <v>0</v>
      </c>
      <c r="G228" s="64"/>
      <c r="H228" s="64"/>
      <c r="I228" s="64"/>
      <c r="J228" s="67">
        <f>K228+L228+M228</f>
        <v>0</v>
      </c>
      <c r="K228" s="64"/>
      <c r="L228" s="64"/>
      <c r="M228" s="64"/>
      <c r="N228" s="67">
        <f t="shared" ref="N228:N231" si="163">O228+P228+Q228</f>
        <v>3335.1</v>
      </c>
      <c r="O228" s="64">
        <v>100</v>
      </c>
      <c r="P228" s="64">
        <v>3235.1</v>
      </c>
      <c r="Q228" s="64"/>
      <c r="R228" s="67">
        <f>S228+T228+U228</f>
        <v>9703.9</v>
      </c>
      <c r="S228" s="64">
        <f>291.1+0.02</f>
        <v>291.10000000000002</v>
      </c>
      <c r="T228" s="64">
        <v>9412.7999999999993</v>
      </c>
      <c r="U228" s="64"/>
      <c r="V228" s="65"/>
    </row>
    <row r="229" spans="1:22" ht="66">
      <c r="A229" s="49"/>
      <c r="B229" s="38" t="s">
        <v>184</v>
      </c>
      <c r="C229" s="39">
        <v>840</v>
      </c>
      <c r="D229" s="40" t="s">
        <v>96</v>
      </c>
      <c r="E229" s="39" t="s">
        <v>183</v>
      </c>
      <c r="F229" s="67">
        <f>G229+H229+I229</f>
        <v>0</v>
      </c>
      <c r="G229" s="64">
        <f>88.1+0.04-88.14</f>
        <v>0</v>
      </c>
      <c r="H229" s="64">
        <f>2849.9-2849.9</f>
        <v>0</v>
      </c>
      <c r="I229" s="64"/>
      <c r="J229" s="67">
        <f>K229+L229+M229</f>
        <v>0</v>
      </c>
      <c r="K229" s="64"/>
      <c r="L229" s="64"/>
      <c r="M229" s="64"/>
      <c r="N229" s="67">
        <f t="shared" si="163"/>
        <v>12418</v>
      </c>
      <c r="O229" s="64">
        <f>372.5+0.04</f>
        <v>372.5</v>
      </c>
      <c r="P229" s="64">
        <v>12045.5</v>
      </c>
      <c r="Q229" s="64"/>
      <c r="R229" s="67">
        <f>S229+T229+U229</f>
        <v>101083</v>
      </c>
      <c r="S229" s="64">
        <f>3032.5-0.01</f>
        <v>3032.5</v>
      </c>
      <c r="T229" s="64">
        <v>98050.5</v>
      </c>
      <c r="U229" s="64"/>
      <c r="V229" s="65"/>
    </row>
    <row r="230" spans="1:22" ht="66">
      <c r="A230" s="49"/>
      <c r="B230" s="38" t="s">
        <v>184</v>
      </c>
      <c r="C230" s="39" t="s">
        <v>400</v>
      </c>
      <c r="D230" s="40" t="s">
        <v>401</v>
      </c>
      <c r="E230" s="39" t="s">
        <v>183</v>
      </c>
      <c r="F230" s="67">
        <f>G230+H230+I230</f>
        <v>2938</v>
      </c>
      <c r="G230" s="64">
        <v>88.1</v>
      </c>
      <c r="H230" s="64">
        <v>2849.9</v>
      </c>
      <c r="I230" s="64"/>
      <c r="J230" s="67">
        <f>K230+L230+M230</f>
        <v>2938</v>
      </c>
      <c r="K230" s="64">
        <v>88.1</v>
      </c>
      <c r="L230" s="64">
        <v>2849.9</v>
      </c>
      <c r="M230" s="64"/>
      <c r="N230" s="67">
        <f t="shared" si="163"/>
        <v>0</v>
      </c>
      <c r="O230" s="64"/>
      <c r="P230" s="64"/>
      <c r="Q230" s="64"/>
      <c r="R230" s="67">
        <f>S230+T230+U230</f>
        <v>0</v>
      </c>
      <c r="S230" s="64"/>
      <c r="T230" s="64"/>
      <c r="U230" s="64"/>
      <c r="V230" s="65">
        <f t="shared" si="130"/>
        <v>1</v>
      </c>
    </row>
    <row r="231" spans="1:22" ht="49.5">
      <c r="A231" s="49"/>
      <c r="B231" s="38" t="s">
        <v>151</v>
      </c>
      <c r="C231" s="39" t="s">
        <v>400</v>
      </c>
      <c r="D231" s="40" t="s">
        <v>401</v>
      </c>
      <c r="E231" s="39" t="s">
        <v>402</v>
      </c>
      <c r="F231" s="67">
        <f>G231+H231+I231</f>
        <v>252191.2</v>
      </c>
      <c r="G231" s="64">
        <v>7565.7</v>
      </c>
      <c r="H231" s="64">
        <v>244625.5</v>
      </c>
      <c r="I231" s="64"/>
      <c r="J231" s="67">
        <f>K231+L231+M231</f>
        <v>252191.2</v>
      </c>
      <c r="K231" s="64">
        <v>7565.7</v>
      </c>
      <c r="L231" s="64">
        <v>244625.5</v>
      </c>
      <c r="M231" s="64"/>
      <c r="N231" s="67">
        <f t="shared" si="163"/>
        <v>0</v>
      </c>
      <c r="O231" s="64"/>
      <c r="P231" s="64"/>
      <c r="Q231" s="64"/>
      <c r="R231" s="67">
        <f>S231+T231+U231</f>
        <v>0</v>
      </c>
      <c r="S231" s="64"/>
      <c r="T231" s="64"/>
      <c r="U231" s="64"/>
      <c r="V231" s="65">
        <f t="shared" si="130"/>
        <v>1</v>
      </c>
    </row>
    <row r="232" spans="1:22" ht="49.5">
      <c r="A232" s="44" t="s">
        <v>152</v>
      </c>
      <c r="B232" s="15" t="s">
        <v>153</v>
      </c>
      <c r="C232" s="6" t="s">
        <v>13</v>
      </c>
      <c r="D232" s="6" t="s">
        <v>13</v>
      </c>
      <c r="E232" s="6" t="s">
        <v>13</v>
      </c>
      <c r="F232" s="63">
        <f t="shared" ref="F232:U232" si="164">SUM(F234:F237)</f>
        <v>120174.8</v>
      </c>
      <c r="G232" s="63">
        <f t="shared" si="164"/>
        <v>3579.4</v>
      </c>
      <c r="H232" s="63">
        <f t="shared" si="164"/>
        <v>115733.1</v>
      </c>
      <c r="I232" s="63">
        <f t="shared" si="164"/>
        <v>862.3</v>
      </c>
      <c r="J232" s="63">
        <f t="shared" si="164"/>
        <v>118419.7</v>
      </c>
      <c r="K232" s="63">
        <f t="shared" si="164"/>
        <v>3529.4</v>
      </c>
      <c r="L232" s="63">
        <f t="shared" si="164"/>
        <v>114115.8</v>
      </c>
      <c r="M232" s="63">
        <f t="shared" si="164"/>
        <v>774.5</v>
      </c>
      <c r="N232" s="63">
        <f t="shared" si="164"/>
        <v>68164.7</v>
      </c>
      <c r="O232" s="63">
        <f t="shared" si="164"/>
        <v>2045</v>
      </c>
      <c r="P232" s="63">
        <f t="shared" si="164"/>
        <v>66119.199999999997</v>
      </c>
      <c r="Q232" s="63">
        <f t="shared" si="164"/>
        <v>0.5</v>
      </c>
      <c r="R232" s="63">
        <f t="shared" si="164"/>
        <v>76712.800000000003</v>
      </c>
      <c r="S232" s="63">
        <f t="shared" si="164"/>
        <v>2301.4</v>
      </c>
      <c r="T232" s="63">
        <f t="shared" si="164"/>
        <v>74410.899999999994</v>
      </c>
      <c r="U232" s="63">
        <f t="shared" si="164"/>
        <v>0.5</v>
      </c>
      <c r="V232" s="66">
        <f t="shared" si="130"/>
        <v>0.98499999999999999</v>
      </c>
    </row>
    <row r="233" spans="1:22" ht="18.75">
      <c r="A233" s="45"/>
      <c r="B233" s="18" t="s">
        <v>16</v>
      </c>
      <c r="C233" s="7"/>
      <c r="D233" s="7"/>
      <c r="E233" s="7"/>
      <c r="F233" s="63"/>
      <c r="G233" s="59"/>
      <c r="H233" s="59"/>
      <c r="I233" s="59"/>
      <c r="J233" s="63"/>
      <c r="K233" s="59"/>
      <c r="L233" s="59"/>
      <c r="M233" s="59"/>
      <c r="N233" s="63"/>
      <c r="O233" s="59"/>
      <c r="P233" s="59"/>
      <c r="Q233" s="59"/>
      <c r="R233" s="63"/>
      <c r="S233" s="59"/>
      <c r="T233" s="59"/>
      <c r="U233" s="59"/>
      <c r="V233" s="60"/>
    </row>
    <row r="234" spans="1:22" ht="129.75" customHeight="1">
      <c r="A234" s="47"/>
      <c r="B234" s="32" t="s">
        <v>188</v>
      </c>
      <c r="C234" s="29">
        <v>840</v>
      </c>
      <c r="D234" s="31" t="s">
        <v>96</v>
      </c>
      <c r="E234" s="29" t="s">
        <v>185</v>
      </c>
      <c r="F234" s="59">
        <f>G234+H234+I234</f>
        <v>0</v>
      </c>
      <c r="G234" s="61">
        <f>2902.3-2902.3</f>
        <v>0</v>
      </c>
      <c r="H234" s="61">
        <f>93841.7-93841.7</f>
        <v>0</v>
      </c>
      <c r="I234" s="61"/>
      <c r="J234" s="59">
        <f>K234+L234+M234</f>
        <v>0</v>
      </c>
      <c r="K234" s="61"/>
      <c r="L234" s="61"/>
      <c r="M234" s="61"/>
      <c r="N234" s="59">
        <f t="shared" ref="N234:N237" si="165">O234+P234+Q234</f>
        <v>0</v>
      </c>
      <c r="O234" s="61">
        <f>1312-1312</f>
        <v>0</v>
      </c>
      <c r="P234" s="61">
        <f>42419.9-42419.9</f>
        <v>0</v>
      </c>
      <c r="Q234" s="61"/>
      <c r="R234" s="59">
        <f>S234+T234+U234</f>
        <v>0</v>
      </c>
      <c r="S234" s="61">
        <f>1314.7+47.7-1362.37</f>
        <v>0</v>
      </c>
      <c r="T234" s="61">
        <f>44049.5-44049.5</f>
        <v>0</v>
      </c>
      <c r="U234" s="61"/>
      <c r="V234" s="62"/>
    </row>
    <row r="235" spans="1:22" ht="129.75" customHeight="1">
      <c r="A235" s="47"/>
      <c r="B235" s="32" t="s">
        <v>189</v>
      </c>
      <c r="C235" s="29">
        <v>840</v>
      </c>
      <c r="D235" s="31" t="s">
        <v>96</v>
      </c>
      <c r="E235" s="29" t="s">
        <v>186</v>
      </c>
      <c r="F235" s="59">
        <f>G235+H235+I235</f>
        <v>17245.2</v>
      </c>
      <c r="G235" s="61">
        <f>491.5-0.01</f>
        <v>491.5</v>
      </c>
      <c r="H235" s="61">
        <v>15891.4</v>
      </c>
      <c r="I235" s="61">
        <v>862.3</v>
      </c>
      <c r="J235" s="59">
        <f>K235+L235+M235</f>
        <v>15490.1</v>
      </c>
      <c r="K235" s="61">
        <v>441.5</v>
      </c>
      <c r="L235" s="61">
        <v>14274.1</v>
      </c>
      <c r="M235" s="61">
        <v>774.5</v>
      </c>
      <c r="N235" s="59">
        <f t="shared" si="165"/>
        <v>21546.2</v>
      </c>
      <c r="O235" s="61">
        <f>646.4-0.03</f>
        <v>646.4</v>
      </c>
      <c r="P235" s="61">
        <v>20899.3</v>
      </c>
      <c r="Q235" s="61">
        <v>0.5</v>
      </c>
      <c r="R235" s="59">
        <f>S235+T235+U235</f>
        <v>28620.5</v>
      </c>
      <c r="S235" s="61">
        <v>858.6</v>
      </c>
      <c r="T235" s="61">
        <v>27761.4</v>
      </c>
      <c r="U235" s="61">
        <v>0.5</v>
      </c>
      <c r="V235" s="62">
        <f t="shared" si="130"/>
        <v>0.89800000000000002</v>
      </c>
    </row>
    <row r="236" spans="1:22" ht="100.5" customHeight="1">
      <c r="A236" s="47"/>
      <c r="B236" s="32" t="s">
        <v>191</v>
      </c>
      <c r="C236" s="29">
        <v>840</v>
      </c>
      <c r="D236" s="31" t="s">
        <v>96</v>
      </c>
      <c r="E236" s="29" t="s">
        <v>190</v>
      </c>
      <c r="F236" s="59">
        <f>G236+H236+I236</f>
        <v>6185.6</v>
      </c>
      <c r="G236" s="61">
        <f>185.6-0.03</f>
        <v>185.6</v>
      </c>
      <c r="H236" s="61">
        <v>6000</v>
      </c>
      <c r="I236" s="61"/>
      <c r="J236" s="59">
        <f>K236+L236+M236</f>
        <v>6185.6</v>
      </c>
      <c r="K236" s="61">
        <v>185.6</v>
      </c>
      <c r="L236" s="61">
        <v>6000</v>
      </c>
      <c r="M236" s="61"/>
      <c r="N236" s="59">
        <f t="shared" si="165"/>
        <v>2886.6</v>
      </c>
      <c r="O236" s="61">
        <v>86.6</v>
      </c>
      <c r="P236" s="61">
        <v>2800</v>
      </c>
      <c r="Q236" s="61"/>
      <c r="R236" s="59">
        <f>S236+T236+U236</f>
        <v>2680.4</v>
      </c>
      <c r="S236" s="61">
        <v>80.400000000000006</v>
      </c>
      <c r="T236" s="61">
        <v>2600</v>
      </c>
      <c r="U236" s="61"/>
      <c r="V236" s="62">
        <f t="shared" si="130"/>
        <v>1</v>
      </c>
    </row>
    <row r="237" spans="1:22" ht="115.5">
      <c r="A237" s="47"/>
      <c r="B237" s="32" t="s">
        <v>381</v>
      </c>
      <c r="C237" s="29">
        <v>840</v>
      </c>
      <c r="D237" s="31" t="s">
        <v>96</v>
      </c>
      <c r="E237" s="29" t="s">
        <v>382</v>
      </c>
      <c r="F237" s="59">
        <f>G237+H237+I237</f>
        <v>96744</v>
      </c>
      <c r="G237" s="61">
        <f>2902.3+0.03</f>
        <v>2902.3</v>
      </c>
      <c r="H237" s="61">
        <v>93841.7</v>
      </c>
      <c r="I237" s="61"/>
      <c r="J237" s="59">
        <f>K237+L237+M237</f>
        <v>96744</v>
      </c>
      <c r="K237" s="61">
        <v>2902.3</v>
      </c>
      <c r="L237" s="61">
        <v>93841.7</v>
      </c>
      <c r="M237" s="61"/>
      <c r="N237" s="59">
        <f t="shared" si="165"/>
        <v>43731.9</v>
      </c>
      <c r="O237" s="61">
        <v>1312</v>
      </c>
      <c r="P237" s="61">
        <v>42419.9</v>
      </c>
      <c r="Q237" s="61"/>
      <c r="R237" s="59">
        <f>S237+T237+U237</f>
        <v>45411.9</v>
      </c>
      <c r="S237" s="61">
        <v>1362.4</v>
      </c>
      <c r="T237" s="61">
        <v>44049.5</v>
      </c>
      <c r="U237" s="61"/>
      <c r="V237" s="62">
        <f t="shared" si="130"/>
        <v>1</v>
      </c>
    </row>
    <row r="238" spans="1:22" ht="33">
      <c r="A238" s="41" t="s">
        <v>154</v>
      </c>
      <c r="B238" s="26" t="s">
        <v>155</v>
      </c>
      <c r="C238" s="27" t="s">
        <v>13</v>
      </c>
      <c r="D238" s="43" t="s">
        <v>13</v>
      </c>
      <c r="E238" s="27" t="s">
        <v>13</v>
      </c>
      <c r="F238" s="59">
        <f t="shared" ref="F238:U238" si="166">SUM(F240:F240)</f>
        <v>9312</v>
      </c>
      <c r="G238" s="59">
        <f t="shared" si="166"/>
        <v>279.39999999999998</v>
      </c>
      <c r="H238" s="59">
        <f t="shared" si="166"/>
        <v>9032.6</v>
      </c>
      <c r="I238" s="59">
        <f t="shared" si="166"/>
        <v>0</v>
      </c>
      <c r="J238" s="59">
        <f t="shared" si="166"/>
        <v>9312</v>
      </c>
      <c r="K238" s="59">
        <f t="shared" si="166"/>
        <v>279.39999999999998</v>
      </c>
      <c r="L238" s="59">
        <f t="shared" si="166"/>
        <v>9032.6</v>
      </c>
      <c r="M238" s="59">
        <f t="shared" si="166"/>
        <v>0</v>
      </c>
      <c r="N238" s="59">
        <f t="shared" si="166"/>
        <v>4656</v>
      </c>
      <c r="O238" s="59">
        <f t="shared" si="166"/>
        <v>139.69999999999999</v>
      </c>
      <c r="P238" s="59">
        <f t="shared" si="166"/>
        <v>4516.3</v>
      </c>
      <c r="Q238" s="59">
        <f t="shared" si="166"/>
        <v>0</v>
      </c>
      <c r="R238" s="59">
        <f t="shared" si="166"/>
        <v>7449.6</v>
      </c>
      <c r="S238" s="59">
        <f t="shared" si="166"/>
        <v>223.5</v>
      </c>
      <c r="T238" s="59">
        <f t="shared" si="166"/>
        <v>7226.1</v>
      </c>
      <c r="U238" s="59">
        <f t="shared" si="166"/>
        <v>0</v>
      </c>
      <c r="V238" s="60">
        <f t="shared" si="130"/>
        <v>1</v>
      </c>
    </row>
    <row r="239" spans="1:22" ht="18.75">
      <c r="A239" s="47"/>
      <c r="B239" s="30" t="s">
        <v>16</v>
      </c>
      <c r="C239" s="29"/>
      <c r="D239" s="31"/>
      <c r="E239" s="2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60"/>
    </row>
    <row r="240" spans="1:22" ht="159" customHeight="1">
      <c r="A240" s="47"/>
      <c r="B240" s="32" t="s">
        <v>193</v>
      </c>
      <c r="C240" s="29">
        <v>840</v>
      </c>
      <c r="D240" s="31" t="s">
        <v>96</v>
      </c>
      <c r="E240" s="29" t="s">
        <v>192</v>
      </c>
      <c r="F240" s="59">
        <f>G240+H240+I240</f>
        <v>9312</v>
      </c>
      <c r="G240" s="61">
        <f>279.4-0.04</f>
        <v>279.39999999999998</v>
      </c>
      <c r="H240" s="61">
        <v>9032.6</v>
      </c>
      <c r="I240" s="61"/>
      <c r="J240" s="59">
        <f>K240+L240+M240</f>
        <v>9312</v>
      </c>
      <c r="K240" s="61">
        <v>279.39999999999998</v>
      </c>
      <c r="L240" s="61">
        <v>9032.6</v>
      </c>
      <c r="M240" s="61"/>
      <c r="N240" s="59">
        <f t="shared" ref="N240" si="167">O240+P240+Q240</f>
        <v>4656</v>
      </c>
      <c r="O240" s="61">
        <f>139.7-0.02</f>
        <v>139.69999999999999</v>
      </c>
      <c r="P240" s="61">
        <v>4516.3</v>
      </c>
      <c r="Q240" s="61"/>
      <c r="R240" s="59">
        <f>S240+T240+U240</f>
        <v>7449.6</v>
      </c>
      <c r="S240" s="61">
        <f>223.5-0.01</f>
        <v>223.5</v>
      </c>
      <c r="T240" s="61">
        <v>7226.1</v>
      </c>
      <c r="U240" s="61"/>
      <c r="V240" s="62">
        <f t="shared" si="130"/>
        <v>1</v>
      </c>
    </row>
    <row r="241" spans="1:22" ht="49.5">
      <c r="A241" s="44" t="s">
        <v>156</v>
      </c>
      <c r="B241" s="15" t="s">
        <v>157</v>
      </c>
      <c r="C241" s="6" t="s">
        <v>13</v>
      </c>
      <c r="D241" s="4" t="s">
        <v>13</v>
      </c>
      <c r="E241" s="6" t="s">
        <v>13</v>
      </c>
      <c r="F241" s="63">
        <f t="shared" ref="F241:U241" si="168">SUM(F243:F246)</f>
        <v>29035</v>
      </c>
      <c r="G241" s="63">
        <f t="shared" si="168"/>
        <v>1861</v>
      </c>
      <c r="H241" s="63">
        <f t="shared" si="168"/>
        <v>27174</v>
      </c>
      <c r="I241" s="63">
        <f t="shared" si="168"/>
        <v>0</v>
      </c>
      <c r="J241" s="63">
        <f t="shared" si="168"/>
        <v>26106.6</v>
      </c>
      <c r="K241" s="63">
        <f t="shared" si="168"/>
        <v>1581.5</v>
      </c>
      <c r="L241" s="63">
        <f t="shared" si="168"/>
        <v>24525.1</v>
      </c>
      <c r="M241" s="63">
        <f t="shared" si="168"/>
        <v>0</v>
      </c>
      <c r="N241" s="63">
        <f t="shared" si="168"/>
        <v>25202.2</v>
      </c>
      <c r="O241" s="63">
        <f t="shared" si="168"/>
        <v>756.1</v>
      </c>
      <c r="P241" s="63">
        <f t="shared" si="168"/>
        <v>24446.1</v>
      </c>
      <c r="Q241" s="63">
        <f t="shared" si="168"/>
        <v>0</v>
      </c>
      <c r="R241" s="63">
        <f t="shared" si="168"/>
        <v>33386.300000000003</v>
      </c>
      <c r="S241" s="63">
        <f t="shared" si="168"/>
        <v>1001.6</v>
      </c>
      <c r="T241" s="63">
        <f t="shared" si="168"/>
        <v>32384.7</v>
      </c>
      <c r="U241" s="63">
        <f t="shared" si="168"/>
        <v>0</v>
      </c>
      <c r="V241" s="66">
        <f t="shared" si="130"/>
        <v>0.89900000000000002</v>
      </c>
    </row>
    <row r="242" spans="1:22" ht="18.75">
      <c r="A242" s="47"/>
      <c r="B242" s="32" t="s">
        <v>16</v>
      </c>
      <c r="C242" s="29"/>
      <c r="D242" s="31"/>
      <c r="E242" s="2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60"/>
    </row>
    <row r="243" spans="1:22" ht="49.5">
      <c r="A243" s="47"/>
      <c r="B243" s="32" t="s">
        <v>159</v>
      </c>
      <c r="C243" s="29">
        <v>817</v>
      </c>
      <c r="D243" s="31" t="s">
        <v>158</v>
      </c>
      <c r="E243" s="29" t="s">
        <v>208</v>
      </c>
      <c r="F243" s="59">
        <f>G243+H243+I243</f>
        <v>22981</v>
      </c>
      <c r="G243" s="61">
        <f>649.5+39.93</f>
        <v>689.4</v>
      </c>
      <c r="H243" s="61">
        <f>21000+1291.58</f>
        <v>22291.599999999999</v>
      </c>
      <c r="I243" s="61"/>
      <c r="J243" s="59">
        <f>K243+L243+M243</f>
        <v>22981</v>
      </c>
      <c r="K243" s="61">
        <f>299.4+90+300</f>
        <v>689.4</v>
      </c>
      <c r="L243" s="61">
        <f>9681.6+2910+9700</f>
        <v>22291.599999999999</v>
      </c>
      <c r="M243" s="61"/>
      <c r="N243" s="59">
        <f t="shared" ref="N243:N246" si="169">O243+P243+Q243</f>
        <v>20618.599999999999</v>
      </c>
      <c r="O243" s="61">
        <v>618.6</v>
      </c>
      <c r="P243" s="61">
        <v>20000</v>
      </c>
      <c r="Q243" s="61"/>
      <c r="R243" s="59">
        <f>S243+T243+U243</f>
        <v>27835.1</v>
      </c>
      <c r="S243" s="61">
        <v>835.1</v>
      </c>
      <c r="T243" s="61">
        <v>27000</v>
      </c>
      <c r="U243" s="61"/>
      <c r="V243" s="62">
        <f t="shared" ref="V243:V269" si="170">J243/F243</f>
        <v>1</v>
      </c>
    </row>
    <row r="244" spans="1:22" ht="66">
      <c r="A244" s="47"/>
      <c r="B244" s="32" t="s">
        <v>160</v>
      </c>
      <c r="C244" s="29">
        <v>817</v>
      </c>
      <c r="D244" s="31" t="s">
        <v>158</v>
      </c>
      <c r="E244" s="29" t="s">
        <v>209</v>
      </c>
      <c r="F244" s="59">
        <f>G244+H244+I244</f>
        <v>3092.8</v>
      </c>
      <c r="G244" s="61">
        <f>92.8</f>
        <v>92.8</v>
      </c>
      <c r="H244" s="61">
        <v>3000</v>
      </c>
      <c r="I244" s="61"/>
      <c r="J244" s="59">
        <f>K244+L244+M244</f>
        <v>2302.6</v>
      </c>
      <c r="K244" s="61">
        <f>33+10.5+10.5+10.5+10.5+10.5-16.42</f>
        <v>69.099999999999994</v>
      </c>
      <c r="L244" s="61">
        <f>388+339.5+339.5+339.5+339.5+339.5+339.5+339.5-531.02</f>
        <v>2233.5</v>
      </c>
      <c r="M244" s="61"/>
      <c r="N244" s="59">
        <f t="shared" si="169"/>
        <v>3092.8</v>
      </c>
      <c r="O244" s="61">
        <f>92.8</f>
        <v>92.8</v>
      </c>
      <c r="P244" s="61">
        <v>3000</v>
      </c>
      <c r="Q244" s="61"/>
      <c r="R244" s="59">
        <f>S244+T244+U244</f>
        <v>3092.8</v>
      </c>
      <c r="S244" s="61">
        <v>92.8</v>
      </c>
      <c r="T244" s="61">
        <v>3000</v>
      </c>
      <c r="U244" s="61"/>
      <c r="V244" s="62">
        <f t="shared" si="170"/>
        <v>0.745</v>
      </c>
    </row>
    <row r="245" spans="1:22" ht="49.5">
      <c r="A245" s="47"/>
      <c r="B245" s="32" t="s">
        <v>211</v>
      </c>
      <c r="C245" s="29">
        <v>817</v>
      </c>
      <c r="D245" s="31" t="s">
        <v>158</v>
      </c>
      <c r="E245" s="29" t="s">
        <v>210</v>
      </c>
      <c r="F245" s="59">
        <f>G245+H245+I245</f>
        <v>1940.6</v>
      </c>
      <c r="G245" s="61">
        <f>98.1-39.93</f>
        <v>58.2</v>
      </c>
      <c r="H245" s="61">
        <f>3174-1291.58</f>
        <v>1882.4</v>
      </c>
      <c r="I245" s="61"/>
      <c r="J245" s="59">
        <f>K245+L245+M245</f>
        <v>0</v>
      </c>
      <c r="K245" s="61"/>
      <c r="L245" s="61"/>
      <c r="M245" s="61"/>
      <c r="N245" s="59">
        <f t="shared" si="169"/>
        <v>1490.8</v>
      </c>
      <c r="O245" s="61">
        <v>44.7</v>
      </c>
      <c r="P245" s="61">
        <v>1446.1</v>
      </c>
      <c r="Q245" s="61"/>
      <c r="R245" s="59">
        <f>S245+T245+U245</f>
        <v>2458.4</v>
      </c>
      <c r="S245" s="61">
        <v>73.7</v>
      </c>
      <c r="T245" s="61">
        <v>2384.6999999999998</v>
      </c>
      <c r="U245" s="61"/>
      <c r="V245" s="62">
        <f t="shared" si="170"/>
        <v>0</v>
      </c>
    </row>
    <row r="246" spans="1:22" ht="66">
      <c r="A246" s="47"/>
      <c r="B246" s="32" t="s">
        <v>160</v>
      </c>
      <c r="C246" s="29">
        <v>817</v>
      </c>
      <c r="D246" s="31" t="s">
        <v>158</v>
      </c>
      <c r="E246" s="29" t="s">
        <v>383</v>
      </c>
      <c r="F246" s="59">
        <f>G246+H246+I246</f>
        <v>1020.6</v>
      </c>
      <c r="G246" s="61">
        <v>1020.6</v>
      </c>
      <c r="H246" s="61"/>
      <c r="I246" s="61"/>
      <c r="J246" s="59">
        <f>K246+L246+M246</f>
        <v>823</v>
      </c>
      <c r="K246" s="61">
        <f>145.8+145.8+145.8+145.8+145.8+145.8-51.76</f>
        <v>823</v>
      </c>
      <c r="L246" s="61"/>
      <c r="M246" s="61"/>
      <c r="N246" s="59">
        <f t="shared" si="169"/>
        <v>0</v>
      </c>
      <c r="O246" s="61"/>
      <c r="P246" s="61"/>
      <c r="Q246" s="61"/>
      <c r="R246" s="59">
        <f>S246+T246+U246</f>
        <v>0</v>
      </c>
      <c r="S246" s="61"/>
      <c r="T246" s="61"/>
      <c r="U246" s="61"/>
      <c r="V246" s="62">
        <f t="shared" si="170"/>
        <v>0.80600000000000005</v>
      </c>
    </row>
    <row r="247" spans="1:22" ht="33">
      <c r="A247" s="46" t="s">
        <v>161</v>
      </c>
      <c r="B247" s="22" t="s">
        <v>162</v>
      </c>
      <c r="C247" s="1" t="s">
        <v>13</v>
      </c>
      <c r="D247" s="1" t="s">
        <v>13</v>
      </c>
      <c r="E247" s="1" t="s">
        <v>13</v>
      </c>
      <c r="F247" s="57">
        <f t="shared" ref="F247:U247" si="171">F248+F252</f>
        <v>88208</v>
      </c>
      <c r="G247" s="57">
        <f t="shared" si="171"/>
        <v>46970.2</v>
      </c>
      <c r="H247" s="57">
        <f t="shared" si="171"/>
        <v>41237.800000000003</v>
      </c>
      <c r="I247" s="57">
        <f t="shared" si="171"/>
        <v>0</v>
      </c>
      <c r="J247" s="57">
        <f t="shared" si="171"/>
        <v>38593.1</v>
      </c>
      <c r="K247" s="57">
        <f t="shared" si="171"/>
        <v>11718.7</v>
      </c>
      <c r="L247" s="57">
        <f t="shared" si="171"/>
        <v>26874.400000000001</v>
      </c>
      <c r="M247" s="57">
        <f t="shared" si="171"/>
        <v>0</v>
      </c>
      <c r="N247" s="57">
        <f t="shared" si="171"/>
        <v>48885.7</v>
      </c>
      <c r="O247" s="57">
        <f t="shared" si="171"/>
        <v>14265.1</v>
      </c>
      <c r="P247" s="57">
        <f t="shared" si="171"/>
        <v>34620.6</v>
      </c>
      <c r="Q247" s="57">
        <f t="shared" si="171"/>
        <v>0</v>
      </c>
      <c r="R247" s="57">
        <f t="shared" si="171"/>
        <v>45776.1</v>
      </c>
      <c r="S247" s="57">
        <f t="shared" si="171"/>
        <v>14200.8</v>
      </c>
      <c r="T247" s="57">
        <f t="shared" si="171"/>
        <v>31575.3</v>
      </c>
      <c r="U247" s="57">
        <f t="shared" si="171"/>
        <v>0</v>
      </c>
      <c r="V247" s="58">
        <f t="shared" si="170"/>
        <v>0.438</v>
      </c>
    </row>
    <row r="248" spans="1:22" ht="49.5">
      <c r="A248" s="44" t="s">
        <v>163</v>
      </c>
      <c r="B248" s="15" t="s">
        <v>164</v>
      </c>
      <c r="C248" s="6" t="s">
        <v>13</v>
      </c>
      <c r="D248" s="6" t="s">
        <v>13</v>
      </c>
      <c r="E248" s="6" t="s">
        <v>13</v>
      </c>
      <c r="F248" s="63">
        <f t="shared" ref="F248:U248" si="172">SUM(F250:F251)</f>
        <v>36001.300000000003</v>
      </c>
      <c r="G248" s="59">
        <f t="shared" si="172"/>
        <v>6320.9</v>
      </c>
      <c r="H248" s="59">
        <f t="shared" si="172"/>
        <v>29680.400000000001</v>
      </c>
      <c r="I248" s="59">
        <f t="shared" si="172"/>
        <v>0</v>
      </c>
      <c r="J248" s="63">
        <f t="shared" si="172"/>
        <v>21348.400000000001</v>
      </c>
      <c r="K248" s="59">
        <f t="shared" si="172"/>
        <v>2990</v>
      </c>
      <c r="L248" s="59">
        <f t="shared" si="172"/>
        <v>18358.400000000001</v>
      </c>
      <c r="M248" s="59">
        <f t="shared" si="172"/>
        <v>0</v>
      </c>
      <c r="N248" s="63">
        <f t="shared" si="172"/>
        <v>9881.7999999999993</v>
      </c>
      <c r="O248" s="59">
        <f t="shared" si="172"/>
        <v>0</v>
      </c>
      <c r="P248" s="59">
        <f t="shared" si="172"/>
        <v>9881.7999999999993</v>
      </c>
      <c r="Q248" s="59">
        <f t="shared" si="172"/>
        <v>0</v>
      </c>
      <c r="R248" s="63">
        <f t="shared" si="172"/>
        <v>8916.6</v>
      </c>
      <c r="S248" s="59">
        <f t="shared" si="172"/>
        <v>0</v>
      </c>
      <c r="T248" s="59">
        <f t="shared" si="172"/>
        <v>8916.6</v>
      </c>
      <c r="U248" s="59">
        <f t="shared" si="172"/>
        <v>0</v>
      </c>
      <c r="V248" s="60">
        <f t="shared" si="170"/>
        <v>0.59299999999999997</v>
      </c>
    </row>
    <row r="249" spans="1:22" ht="18.75">
      <c r="A249" s="47"/>
      <c r="B249" s="30" t="s">
        <v>16</v>
      </c>
      <c r="C249" s="29"/>
      <c r="D249" s="29"/>
      <c r="E249" s="2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60"/>
    </row>
    <row r="250" spans="1:22" ht="66">
      <c r="A250" s="47"/>
      <c r="B250" s="32" t="s">
        <v>194</v>
      </c>
      <c r="C250" s="29">
        <v>840</v>
      </c>
      <c r="D250" s="31" t="s">
        <v>96</v>
      </c>
      <c r="E250" s="29" t="s">
        <v>195</v>
      </c>
      <c r="F250" s="59">
        <f>G250+H250+I250</f>
        <v>31780.400000000001</v>
      </c>
      <c r="G250" s="61">
        <f>9100-7000</f>
        <v>2100</v>
      </c>
      <c r="H250" s="61">
        <f>40473.3-10792.9</f>
        <v>29680.400000000001</v>
      </c>
      <c r="I250" s="61"/>
      <c r="J250" s="59">
        <f>K250+L250+M250</f>
        <v>20358.400000000001</v>
      </c>
      <c r="K250" s="61">
        <v>2000</v>
      </c>
      <c r="L250" s="61">
        <f>10706.2+2800+2752.17+2100</f>
        <v>18358.400000000001</v>
      </c>
      <c r="M250" s="61"/>
      <c r="N250" s="59">
        <f t="shared" ref="N250:N251" si="173">O250+P250+Q250</f>
        <v>9881.7999999999993</v>
      </c>
      <c r="O250" s="61"/>
      <c r="P250" s="61">
        <v>9881.7999999999993</v>
      </c>
      <c r="Q250" s="61"/>
      <c r="R250" s="59">
        <f>S250+T250+U250</f>
        <v>8916.6</v>
      </c>
      <c r="S250" s="61"/>
      <c r="T250" s="61">
        <v>8916.6</v>
      </c>
      <c r="U250" s="61"/>
      <c r="V250" s="62">
        <f t="shared" si="170"/>
        <v>0.64100000000000001</v>
      </c>
    </row>
    <row r="251" spans="1:22" ht="33">
      <c r="A251" s="47"/>
      <c r="B251" s="32" t="s">
        <v>357</v>
      </c>
      <c r="C251" s="29">
        <v>816</v>
      </c>
      <c r="D251" s="31" t="s">
        <v>71</v>
      </c>
      <c r="E251" s="29" t="s">
        <v>358</v>
      </c>
      <c r="F251" s="59">
        <f>G251+H251+I251</f>
        <v>4220.8999999999996</v>
      </c>
      <c r="G251" s="61">
        <f>4351.4-130.5</f>
        <v>4220.8999999999996</v>
      </c>
      <c r="H251" s="61"/>
      <c r="I251" s="61"/>
      <c r="J251" s="59">
        <f>K251+L251+M251</f>
        <v>990</v>
      </c>
      <c r="K251" s="61">
        <f>818+172.01</f>
        <v>990</v>
      </c>
      <c r="L251" s="61"/>
      <c r="M251" s="61"/>
      <c r="N251" s="59">
        <f t="shared" si="173"/>
        <v>0</v>
      </c>
      <c r="O251" s="61"/>
      <c r="P251" s="61"/>
      <c r="Q251" s="61"/>
      <c r="R251" s="59">
        <f>S251+T251+U251</f>
        <v>0</v>
      </c>
      <c r="S251" s="61"/>
      <c r="T251" s="61"/>
      <c r="U251" s="61"/>
      <c r="V251" s="62">
        <f t="shared" si="170"/>
        <v>0.23499999999999999</v>
      </c>
    </row>
    <row r="252" spans="1:22" s="50" customFormat="1" ht="49.5">
      <c r="A252" s="26" t="s">
        <v>165</v>
      </c>
      <c r="B252" s="26" t="s">
        <v>166</v>
      </c>
      <c r="C252" s="27" t="s">
        <v>13</v>
      </c>
      <c r="D252" s="27" t="s">
        <v>13</v>
      </c>
      <c r="E252" s="70" t="s">
        <v>13</v>
      </c>
      <c r="F252" s="59">
        <f t="shared" ref="F252:U252" si="174">SUM(F254:F256)</f>
        <v>52206.7</v>
      </c>
      <c r="G252" s="59">
        <f t="shared" si="174"/>
        <v>40649.300000000003</v>
      </c>
      <c r="H252" s="59">
        <f t="shared" si="174"/>
        <v>11557.4</v>
      </c>
      <c r="I252" s="59">
        <f t="shared" si="174"/>
        <v>0</v>
      </c>
      <c r="J252" s="59">
        <f t="shared" si="174"/>
        <v>17244.7</v>
      </c>
      <c r="K252" s="59">
        <f t="shared" si="174"/>
        <v>8728.7000000000007</v>
      </c>
      <c r="L252" s="59">
        <f t="shared" si="174"/>
        <v>8516</v>
      </c>
      <c r="M252" s="59">
        <f t="shared" si="174"/>
        <v>0</v>
      </c>
      <c r="N252" s="59">
        <f t="shared" si="174"/>
        <v>39003.9</v>
      </c>
      <c r="O252" s="59">
        <f t="shared" si="174"/>
        <v>14265.1</v>
      </c>
      <c r="P252" s="59">
        <f t="shared" si="174"/>
        <v>24738.799999999999</v>
      </c>
      <c r="Q252" s="59">
        <f t="shared" si="174"/>
        <v>0</v>
      </c>
      <c r="R252" s="59">
        <f t="shared" si="174"/>
        <v>36859.5</v>
      </c>
      <c r="S252" s="59">
        <f t="shared" si="174"/>
        <v>14200.8</v>
      </c>
      <c r="T252" s="59">
        <f t="shared" si="174"/>
        <v>22658.7</v>
      </c>
      <c r="U252" s="59">
        <f t="shared" si="174"/>
        <v>0</v>
      </c>
      <c r="V252" s="60">
        <f t="shared" si="170"/>
        <v>0.33</v>
      </c>
    </row>
    <row r="253" spans="1:22" ht="18.75">
      <c r="A253" s="47"/>
      <c r="B253" s="30" t="s">
        <v>16</v>
      </c>
      <c r="C253" s="29"/>
      <c r="D253" s="31"/>
      <c r="E253" s="2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60"/>
    </row>
    <row r="254" spans="1:22" ht="133.5" customHeight="1">
      <c r="A254" s="47"/>
      <c r="B254" s="32" t="s">
        <v>200</v>
      </c>
      <c r="C254" s="29">
        <v>839</v>
      </c>
      <c r="D254" s="31" t="s">
        <v>17</v>
      </c>
      <c r="E254" s="29" t="s">
        <v>201</v>
      </c>
      <c r="F254" s="59">
        <f>G254+H254+I254</f>
        <v>0</v>
      </c>
      <c r="G254" s="61">
        <f>126.7-126.7</f>
        <v>0</v>
      </c>
      <c r="H254" s="61">
        <v>0</v>
      </c>
      <c r="I254" s="61"/>
      <c r="J254" s="59">
        <f>K254+L254+M254</f>
        <v>0</v>
      </c>
      <c r="K254" s="61"/>
      <c r="L254" s="61"/>
      <c r="M254" s="61"/>
      <c r="N254" s="59">
        <f t="shared" ref="N254:N256" si="175">O254+P254+Q254</f>
        <v>4257.1000000000004</v>
      </c>
      <c r="O254" s="61">
        <v>127.7</v>
      </c>
      <c r="P254" s="61">
        <v>4129.3999999999996</v>
      </c>
      <c r="Q254" s="61"/>
      <c r="R254" s="59">
        <f>S254+T254+U254</f>
        <v>4257.1000000000004</v>
      </c>
      <c r="S254" s="61">
        <v>127.7</v>
      </c>
      <c r="T254" s="61">
        <v>4129.3999999999996</v>
      </c>
      <c r="U254" s="61"/>
      <c r="V254" s="62"/>
    </row>
    <row r="255" spans="1:22" ht="122.25" customHeight="1">
      <c r="A255" s="47"/>
      <c r="B255" s="32" t="s">
        <v>199</v>
      </c>
      <c r="C255" s="29">
        <v>839</v>
      </c>
      <c r="D255" s="31" t="s">
        <v>17</v>
      </c>
      <c r="E255" s="29" t="s">
        <v>198</v>
      </c>
      <c r="F255" s="59">
        <f>G255+H255+I255</f>
        <v>2706.7</v>
      </c>
      <c r="G255" s="61">
        <f>522.6+126.7</f>
        <v>649.29999999999995</v>
      </c>
      <c r="H255" s="61">
        <f>16896.6-14839.2</f>
        <v>2057.4</v>
      </c>
      <c r="I255" s="61"/>
      <c r="J255" s="59">
        <f>K255+L255+M255</f>
        <v>1913.6</v>
      </c>
      <c r="K255" s="61">
        <f>2+1.2+9.05+16.54+19.27+9.43</f>
        <v>57.5</v>
      </c>
      <c r="L255" s="61">
        <f>102.76+292.40629+534.26+622.23+304.47</f>
        <v>1856.1</v>
      </c>
      <c r="M255" s="61"/>
      <c r="N255" s="59">
        <f t="shared" si="175"/>
        <v>13946.8</v>
      </c>
      <c r="O255" s="61">
        <v>418.4</v>
      </c>
      <c r="P255" s="61">
        <v>13528.4</v>
      </c>
      <c r="Q255" s="61"/>
      <c r="R255" s="59">
        <f>S255+T255+U255</f>
        <v>11102.4</v>
      </c>
      <c r="S255" s="61">
        <v>333.1</v>
      </c>
      <c r="T255" s="61">
        <v>10769.3</v>
      </c>
      <c r="U255" s="61"/>
      <c r="V255" s="62">
        <f t="shared" si="170"/>
        <v>0.70699999999999996</v>
      </c>
    </row>
    <row r="256" spans="1:22" ht="33">
      <c r="A256" s="47"/>
      <c r="B256" s="32" t="s">
        <v>196</v>
      </c>
      <c r="C256" s="29">
        <v>839</v>
      </c>
      <c r="D256" s="31" t="s">
        <v>17</v>
      </c>
      <c r="E256" s="29" t="s">
        <v>197</v>
      </c>
      <c r="F256" s="59">
        <f>G256+H256+I256</f>
        <v>49500</v>
      </c>
      <c r="G256" s="61">
        <f>14400+26206.2-606.19</f>
        <v>40000</v>
      </c>
      <c r="H256" s="61">
        <f>29100-19600</f>
        <v>9500</v>
      </c>
      <c r="I256" s="61"/>
      <c r="J256" s="59">
        <f>K256+L256+M256</f>
        <v>15331.1</v>
      </c>
      <c r="K256" s="61">
        <f>1454.93+8.59+861.08+869.64+861.1+861.08+861.08+861.08+222.92+1809.7</f>
        <v>8671.2000000000007</v>
      </c>
      <c r="L256" s="61">
        <f>554.68+6105.25</f>
        <v>6659.9</v>
      </c>
      <c r="M256" s="61"/>
      <c r="N256" s="59">
        <f t="shared" si="175"/>
        <v>20800</v>
      </c>
      <c r="O256" s="61">
        <v>13719</v>
      </c>
      <c r="P256" s="61">
        <v>7081</v>
      </c>
      <c r="Q256" s="61"/>
      <c r="R256" s="59">
        <f>S256+T256+U256</f>
        <v>21500</v>
      </c>
      <c r="S256" s="61">
        <v>13740</v>
      </c>
      <c r="T256" s="61">
        <v>7760</v>
      </c>
      <c r="U256" s="61"/>
      <c r="V256" s="62">
        <f t="shared" si="170"/>
        <v>0.31</v>
      </c>
    </row>
    <row r="257" spans="1:22" ht="33">
      <c r="A257" s="22">
        <v>11</v>
      </c>
      <c r="B257" s="22" t="s">
        <v>461</v>
      </c>
      <c r="C257" s="1" t="s">
        <v>13</v>
      </c>
      <c r="D257" s="1" t="s">
        <v>13</v>
      </c>
      <c r="E257" s="25" t="s">
        <v>13</v>
      </c>
      <c r="F257" s="57">
        <f t="shared" ref="F257:U257" si="176">F258+F262+F266</f>
        <v>23207</v>
      </c>
      <c r="G257" s="57">
        <f t="shared" si="176"/>
        <v>5864.4</v>
      </c>
      <c r="H257" s="57">
        <f t="shared" ref="H257" si="177">H258+H262+H266</f>
        <v>17342.599999999999</v>
      </c>
      <c r="I257" s="57">
        <f t="shared" si="176"/>
        <v>0</v>
      </c>
      <c r="J257" s="57">
        <f t="shared" si="176"/>
        <v>12235.6</v>
      </c>
      <c r="K257" s="57">
        <f t="shared" si="176"/>
        <v>2754.8</v>
      </c>
      <c r="L257" s="57">
        <f t="shared" si="176"/>
        <v>9480.7999999999993</v>
      </c>
      <c r="M257" s="57">
        <f t="shared" si="176"/>
        <v>0</v>
      </c>
      <c r="N257" s="57">
        <f t="shared" si="176"/>
        <v>0</v>
      </c>
      <c r="O257" s="57">
        <f t="shared" si="176"/>
        <v>0</v>
      </c>
      <c r="P257" s="57">
        <f t="shared" si="176"/>
        <v>0</v>
      </c>
      <c r="Q257" s="57">
        <f t="shared" si="176"/>
        <v>0</v>
      </c>
      <c r="R257" s="57">
        <f t="shared" si="176"/>
        <v>51546.400000000001</v>
      </c>
      <c r="S257" s="57">
        <f t="shared" si="176"/>
        <v>1546.4</v>
      </c>
      <c r="T257" s="57">
        <f t="shared" si="176"/>
        <v>50000</v>
      </c>
      <c r="U257" s="57">
        <f t="shared" si="176"/>
        <v>0</v>
      </c>
      <c r="V257" s="58">
        <f t="shared" si="170"/>
        <v>0.52700000000000002</v>
      </c>
    </row>
    <row r="258" spans="1:22" s="50" customFormat="1" ht="33">
      <c r="A258" s="41" t="s">
        <v>212</v>
      </c>
      <c r="B258" s="26" t="s">
        <v>213</v>
      </c>
      <c r="C258" s="27" t="s">
        <v>13</v>
      </c>
      <c r="D258" s="27" t="s">
        <v>13</v>
      </c>
      <c r="E258" s="27" t="s">
        <v>13</v>
      </c>
      <c r="F258" s="59">
        <f>SUM(F260:F261)</f>
        <v>17879</v>
      </c>
      <c r="G258" s="59">
        <f t="shared" ref="G258:U258" si="178">SUM(G260:G261)</f>
        <v>536.4</v>
      </c>
      <c r="H258" s="59">
        <f t="shared" si="178"/>
        <v>17342.599999999999</v>
      </c>
      <c r="I258" s="59">
        <f t="shared" si="178"/>
        <v>0</v>
      </c>
      <c r="J258" s="59">
        <f t="shared" si="178"/>
        <v>9774</v>
      </c>
      <c r="K258" s="59">
        <f t="shared" si="178"/>
        <v>293.2</v>
      </c>
      <c r="L258" s="59">
        <f t="shared" si="178"/>
        <v>9480.7999999999993</v>
      </c>
      <c r="M258" s="59">
        <f t="shared" si="178"/>
        <v>0</v>
      </c>
      <c r="N258" s="59">
        <f t="shared" si="178"/>
        <v>0</v>
      </c>
      <c r="O258" s="59">
        <f t="shared" si="178"/>
        <v>0</v>
      </c>
      <c r="P258" s="59">
        <f t="shared" si="178"/>
        <v>0</v>
      </c>
      <c r="Q258" s="59">
        <f t="shared" si="178"/>
        <v>0</v>
      </c>
      <c r="R258" s="59">
        <f t="shared" si="178"/>
        <v>51546.400000000001</v>
      </c>
      <c r="S258" s="59">
        <f t="shared" si="178"/>
        <v>1546.4</v>
      </c>
      <c r="T258" s="59">
        <f t="shared" si="178"/>
        <v>50000</v>
      </c>
      <c r="U258" s="59">
        <f t="shared" si="178"/>
        <v>0</v>
      </c>
      <c r="V258" s="60">
        <f t="shared" si="170"/>
        <v>0.54700000000000004</v>
      </c>
    </row>
    <row r="259" spans="1:22" ht="18.75">
      <c r="A259" s="45"/>
      <c r="B259" s="18" t="s">
        <v>16</v>
      </c>
      <c r="C259" s="7"/>
      <c r="D259" s="7"/>
      <c r="E259" s="7"/>
      <c r="F259" s="63"/>
      <c r="G259" s="59"/>
      <c r="H259" s="59"/>
      <c r="I259" s="59"/>
      <c r="J259" s="63"/>
      <c r="K259" s="59"/>
      <c r="L259" s="59"/>
      <c r="M259" s="59"/>
      <c r="N259" s="63"/>
      <c r="O259" s="59"/>
      <c r="P259" s="59"/>
      <c r="Q259" s="59"/>
      <c r="R259" s="63"/>
      <c r="S259" s="59"/>
      <c r="T259" s="59"/>
      <c r="U259" s="59"/>
      <c r="V259" s="60"/>
    </row>
    <row r="260" spans="1:22" ht="49.5">
      <c r="A260" s="71"/>
      <c r="B260" s="17" t="s">
        <v>214</v>
      </c>
      <c r="C260" s="7">
        <v>818</v>
      </c>
      <c r="D260" s="8" t="s">
        <v>215</v>
      </c>
      <c r="E260" s="7" t="s">
        <v>216</v>
      </c>
      <c r="F260" s="63">
        <f>G260+H260+I260</f>
        <v>0</v>
      </c>
      <c r="G260" s="61"/>
      <c r="H260" s="61"/>
      <c r="I260" s="61"/>
      <c r="J260" s="63">
        <f>K260+L260+M260</f>
        <v>0</v>
      </c>
      <c r="K260" s="61"/>
      <c r="L260" s="61"/>
      <c r="M260" s="61"/>
      <c r="N260" s="63">
        <f t="shared" ref="N260:N261" si="179">O260+P260+Q260</f>
        <v>0</v>
      </c>
      <c r="O260" s="61"/>
      <c r="P260" s="61"/>
      <c r="Q260" s="61"/>
      <c r="R260" s="63">
        <f>S260+T260+U260</f>
        <v>51546.400000000001</v>
      </c>
      <c r="S260" s="61">
        <v>1546.4</v>
      </c>
      <c r="T260" s="61">
        <v>50000</v>
      </c>
      <c r="U260" s="61"/>
      <c r="V260" s="62"/>
    </row>
    <row r="261" spans="1:22" ht="54.75" customHeight="1">
      <c r="A261" s="71"/>
      <c r="B261" s="17" t="s">
        <v>421</v>
      </c>
      <c r="C261" s="7">
        <v>817</v>
      </c>
      <c r="D261" s="8" t="s">
        <v>158</v>
      </c>
      <c r="E261" s="7" t="s">
        <v>422</v>
      </c>
      <c r="F261" s="63">
        <f>G261+H261+I261</f>
        <v>17879</v>
      </c>
      <c r="G261" s="61">
        <v>536.4</v>
      </c>
      <c r="H261" s="61">
        <v>17342.599999999999</v>
      </c>
      <c r="I261" s="61"/>
      <c r="J261" s="63">
        <f>K261+L261+M261</f>
        <v>9774</v>
      </c>
      <c r="K261" s="61">
        <f>248.5+44.74</f>
        <v>293.2</v>
      </c>
      <c r="L261" s="61">
        <f>8034.1+1446.73</f>
        <v>9480.7999999999993</v>
      </c>
      <c r="M261" s="61"/>
      <c r="N261" s="63">
        <f t="shared" si="179"/>
        <v>0</v>
      </c>
      <c r="O261" s="61"/>
      <c r="P261" s="61"/>
      <c r="Q261" s="61"/>
      <c r="R261" s="63">
        <f>S261+T261+U261</f>
        <v>0</v>
      </c>
      <c r="S261" s="61"/>
      <c r="T261" s="61"/>
      <c r="U261" s="61"/>
      <c r="V261" s="62">
        <f t="shared" si="170"/>
        <v>0.54700000000000004</v>
      </c>
    </row>
    <row r="262" spans="1:22" s="50" customFormat="1" ht="49.5">
      <c r="A262" s="41" t="s">
        <v>295</v>
      </c>
      <c r="B262" s="26" t="s">
        <v>296</v>
      </c>
      <c r="C262" s="27" t="s">
        <v>13</v>
      </c>
      <c r="D262" s="27" t="s">
        <v>13</v>
      </c>
      <c r="E262" s="27" t="s">
        <v>13</v>
      </c>
      <c r="F262" s="59">
        <f>F265+F264</f>
        <v>3328</v>
      </c>
      <c r="G262" s="59">
        <f t="shared" ref="G262:U262" si="180">G265+G264</f>
        <v>3328</v>
      </c>
      <c r="H262" s="59">
        <f t="shared" si="180"/>
        <v>0</v>
      </c>
      <c r="I262" s="59">
        <f t="shared" si="180"/>
        <v>0</v>
      </c>
      <c r="J262" s="59">
        <f t="shared" si="180"/>
        <v>878</v>
      </c>
      <c r="K262" s="59">
        <f t="shared" si="180"/>
        <v>878</v>
      </c>
      <c r="L262" s="59">
        <f t="shared" si="180"/>
        <v>0</v>
      </c>
      <c r="M262" s="59">
        <f t="shared" si="180"/>
        <v>0</v>
      </c>
      <c r="N262" s="59">
        <f t="shared" si="180"/>
        <v>0</v>
      </c>
      <c r="O262" s="59">
        <f t="shared" si="180"/>
        <v>0</v>
      </c>
      <c r="P262" s="59">
        <f t="shared" si="180"/>
        <v>0</v>
      </c>
      <c r="Q262" s="59">
        <f t="shared" si="180"/>
        <v>0</v>
      </c>
      <c r="R262" s="59">
        <f t="shared" si="180"/>
        <v>0</v>
      </c>
      <c r="S262" s="59">
        <f t="shared" si="180"/>
        <v>0</v>
      </c>
      <c r="T262" s="59">
        <f t="shared" si="180"/>
        <v>0</v>
      </c>
      <c r="U262" s="59">
        <f t="shared" si="180"/>
        <v>0</v>
      </c>
      <c r="V262" s="60">
        <f t="shared" si="170"/>
        <v>0.26400000000000001</v>
      </c>
    </row>
    <row r="263" spans="1:22" ht="18.75">
      <c r="A263" s="45"/>
      <c r="B263" s="18" t="s">
        <v>16</v>
      </c>
      <c r="C263" s="7"/>
      <c r="D263" s="8"/>
      <c r="E263" s="7"/>
      <c r="F263" s="63"/>
      <c r="G263" s="59"/>
      <c r="H263" s="59"/>
      <c r="I263" s="59"/>
      <c r="J263" s="63"/>
      <c r="K263" s="59"/>
      <c r="L263" s="59"/>
      <c r="M263" s="59"/>
      <c r="N263" s="63"/>
      <c r="O263" s="59"/>
      <c r="P263" s="59"/>
      <c r="Q263" s="59"/>
      <c r="R263" s="63"/>
      <c r="S263" s="59"/>
      <c r="T263" s="59"/>
      <c r="U263" s="59"/>
      <c r="V263" s="60"/>
    </row>
    <row r="264" spans="1:22" ht="66">
      <c r="A264" s="45"/>
      <c r="B264" s="17" t="s">
        <v>456</v>
      </c>
      <c r="C264" s="7">
        <v>804</v>
      </c>
      <c r="D264" s="8" t="s">
        <v>99</v>
      </c>
      <c r="E264" s="7" t="s">
        <v>457</v>
      </c>
      <c r="F264" s="63">
        <f>G264+H264+I264</f>
        <v>2000</v>
      </c>
      <c r="G264" s="59">
        <v>2000</v>
      </c>
      <c r="H264" s="59"/>
      <c r="I264" s="59"/>
      <c r="J264" s="63">
        <f>K264+L264+M264</f>
        <v>0</v>
      </c>
      <c r="K264" s="59"/>
      <c r="L264" s="59"/>
      <c r="M264" s="59"/>
      <c r="N264" s="63">
        <f>O264+P264+Q264</f>
        <v>0</v>
      </c>
      <c r="O264" s="59"/>
      <c r="P264" s="59"/>
      <c r="Q264" s="59"/>
      <c r="R264" s="63">
        <f>S264+T264+U264</f>
        <v>0</v>
      </c>
      <c r="S264" s="59"/>
      <c r="T264" s="59"/>
      <c r="U264" s="59"/>
      <c r="V264" s="60">
        <f t="shared" si="170"/>
        <v>0</v>
      </c>
    </row>
    <row r="265" spans="1:22" ht="33">
      <c r="A265" s="45"/>
      <c r="B265" s="17" t="s">
        <v>297</v>
      </c>
      <c r="C265" s="7">
        <v>804</v>
      </c>
      <c r="D265" s="8" t="s">
        <v>99</v>
      </c>
      <c r="E265" s="7" t="s">
        <v>298</v>
      </c>
      <c r="F265" s="63">
        <f>G265+H265+I265</f>
        <v>1328</v>
      </c>
      <c r="G265" s="61">
        <f>10200-5162-3710</f>
        <v>1328</v>
      </c>
      <c r="H265" s="61"/>
      <c r="I265" s="61"/>
      <c r="J265" s="63">
        <f>K265+L265+M265</f>
        <v>878</v>
      </c>
      <c r="K265" s="61">
        <f>98+180+75+75+75+375</f>
        <v>878</v>
      </c>
      <c r="L265" s="61"/>
      <c r="M265" s="61"/>
      <c r="N265" s="63">
        <f t="shared" ref="N265" si="181">O265+P265+Q265</f>
        <v>0</v>
      </c>
      <c r="O265" s="61"/>
      <c r="P265" s="61"/>
      <c r="Q265" s="61"/>
      <c r="R265" s="63">
        <f>S265+T265+U265</f>
        <v>0</v>
      </c>
      <c r="S265" s="61"/>
      <c r="T265" s="61"/>
      <c r="U265" s="61"/>
      <c r="V265" s="62">
        <f t="shared" si="170"/>
        <v>0.66100000000000003</v>
      </c>
    </row>
    <row r="266" spans="1:22" ht="18.75">
      <c r="A266" s="44" t="s">
        <v>306</v>
      </c>
      <c r="B266" s="15" t="s">
        <v>307</v>
      </c>
      <c r="C266" s="6" t="s">
        <v>13</v>
      </c>
      <c r="D266" s="6" t="s">
        <v>13</v>
      </c>
      <c r="E266" s="6" t="s">
        <v>13</v>
      </c>
      <c r="F266" s="63">
        <f t="shared" ref="F266:U266" si="182">SUM(F268:F269)</f>
        <v>2000</v>
      </c>
      <c r="G266" s="59">
        <f t="shared" si="182"/>
        <v>2000</v>
      </c>
      <c r="H266" s="59">
        <f t="shared" ref="H266" si="183">SUM(H268:H269)</f>
        <v>0</v>
      </c>
      <c r="I266" s="59">
        <f t="shared" si="182"/>
        <v>0</v>
      </c>
      <c r="J266" s="63">
        <f t="shared" si="182"/>
        <v>1583.6</v>
      </c>
      <c r="K266" s="59">
        <f t="shared" si="182"/>
        <v>1583.6</v>
      </c>
      <c r="L266" s="59">
        <f t="shared" si="182"/>
        <v>0</v>
      </c>
      <c r="M266" s="59">
        <f t="shared" si="182"/>
        <v>0</v>
      </c>
      <c r="N266" s="63">
        <f t="shared" si="182"/>
        <v>0</v>
      </c>
      <c r="O266" s="59">
        <f t="shared" si="182"/>
        <v>0</v>
      </c>
      <c r="P266" s="59">
        <f t="shared" si="182"/>
        <v>0</v>
      </c>
      <c r="Q266" s="59">
        <f t="shared" si="182"/>
        <v>0</v>
      </c>
      <c r="R266" s="63">
        <f t="shared" si="182"/>
        <v>0</v>
      </c>
      <c r="S266" s="59">
        <f t="shared" si="182"/>
        <v>0</v>
      </c>
      <c r="T266" s="59">
        <f t="shared" si="182"/>
        <v>0</v>
      </c>
      <c r="U266" s="59">
        <f t="shared" si="182"/>
        <v>0</v>
      </c>
      <c r="V266" s="60">
        <f t="shared" si="170"/>
        <v>0.79200000000000004</v>
      </c>
    </row>
    <row r="267" spans="1:22" ht="18.75">
      <c r="A267" s="45"/>
      <c r="B267" s="18" t="s">
        <v>16</v>
      </c>
      <c r="C267" s="7"/>
      <c r="D267" s="8"/>
      <c r="E267" s="7"/>
      <c r="F267" s="63"/>
      <c r="G267" s="59"/>
      <c r="H267" s="59"/>
      <c r="I267" s="59"/>
      <c r="J267" s="63"/>
      <c r="K267" s="59"/>
      <c r="L267" s="59"/>
      <c r="M267" s="59"/>
      <c r="N267" s="63"/>
      <c r="O267" s="59"/>
      <c r="P267" s="59"/>
      <c r="Q267" s="59"/>
      <c r="R267" s="63"/>
      <c r="S267" s="59"/>
      <c r="T267" s="59"/>
      <c r="U267" s="59"/>
      <c r="V267" s="60"/>
    </row>
    <row r="268" spans="1:22" ht="49.5">
      <c r="A268" s="45"/>
      <c r="B268" s="17" t="s">
        <v>308</v>
      </c>
      <c r="C268" s="7">
        <v>804</v>
      </c>
      <c r="D268" s="8" t="s">
        <v>99</v>
      </c>
      <c r="E268" s="7" t="s">
        <v>309</v>
      </c>
      <c r="F268" s="63">
        <f>G268+H268+I268</f>
        <v>1650</v>
      </c>
      <c r="G268" s="61">
        <v>1650</v>
      </c>
      <c r="H268" s="61"/>
      <c r="I268" s="61"/>
      <c r="J268" s="63">
        <f>K268+L268+M268</f>
        <v>1583.6</v>
      </c>
      <c r="K268" s="61">
        <f>1650-581.93-118.22+646.05-12.29</f>
        <v>1583.6</v>
      </c>
      <c r="L268" s="61"/>
      <c r="M268" s="61"/>
      <c r="N268" s="63">
        <f t="shared" ref="N268:N269" si="184">O268+P268+Q268</f>
        <v>0</v>
      </c>
      <c r="O268" s="61"/>
      <c r="P268" s="61"/>
      <c r="Q268" s="61"/>
      <c r="R268" s="63">
        <f>S268+T268+U268</f>
        <v>0</v>
      </c>
      <c r="S268" s="61"/>
      <c r="T268" s="61"/>
      <c r="U268" s="61"/>
      <c r="V268" s="62">
        <f t="shared" si="170"/>
        <v>0.96</v>
      </c>
    </row>
    <row r="269" spans="1:22" ht="49.5">
      <c r="A269" s="45"/>
      <c r="B269" s="17" t="s">
        <v>313</v>
      </c>
      <c r="C269" s="7">
        <v>804</v>
      </c>
      <c r="D269" s="8" t="s">
        <v>99</v>
      </c>
      <c r="E269" s="7" t="s">
        <v>312</v>
      </c>
      <c r="F269" s="63">
        <f>G269+H269+I269</f>
        <v>350</v>
      </c>
      <c r="G269" s="61">
        <v>350</v>
      </c>
      <c r="H269" s="61"/>
      <c r="I269" s="61"/>
      <c r="J269" s="63">
        <f>K269+L269+M269</f>
        <v>0</v>
      </c>
      <c r="K269" s="61"/>
      <c r="L269" s="61"/>
      <c r="M269" s="61"/>
      <c r="N269" s="63">
        <f t="shared" si="184"/>
        <v>0</v>
      </c>
      <c r="O269" s="61"/>
      <c r="P269" s="61"/>
      <c r="Q269" s="61"/>
      <c r="R269" s="63">
        <f>S269+T269+U269</f>
        <v>0</v>
      </c>
      <c r="S269" s="61"/>
      <c r="T269" s="61"/>
      <c r="U269" s="61"/>
      <c r="V269" s="62">
        <f t="shared" si="170"/>
        <v>0</v>
      </c>
    </row>
    <row r="270" spans="1:22">
      <c r="A270" s="11"/>
      <c r="B270" s="20" t="s">
        <v>380</v>
      </c>
      <c r="C270" s="11"/>
      <c r="D270" s="11"/>
      <c r="E270" s="11"/>
    </row>
    <row r="271" spans="1:22">
      <c r="A271" s="11"/>
      <c r="B271" s="20" t="s">
        <v>444</v>
      </c>
      <c r="C271" s="11"/>
      <c r="D271" s="11"/>
      <c r="E271" s="11"/>
    </row>
    <row r="278" ht="22.15" customHeight="1"/>
    <row r="279" ht="22.15" customHeight="1"/>
    <row r="280" ht="22.15" customHeight="1"/>
    <row r="281" ht="22.15" customHeight="1"/>
    <row r="282" ht="21" customHeight="1"/>
    <row r="283" ht="21" customHeight="1"/>
    <row r="284" ht="21" customHeight="1"/>
    <row r="285" ht="21" customHeight="1"/>
    <row r="286" ht="17.45" customHeight="1"/>
    <row r="287" ht="16.149999999999999" customHeight="1"/>
    <row r="288" ht="17.45" customHeight="1"/>
    <row r="289" ht="20.45" customHeight="1"/>
    <row r="290" ht="16.149999999999999" customHeight="1"/>
    <row r="291" ht="17.45" customHeight="1"/>
    <row r="292" ht="17.45" customHeight="1"/>
  </sheetData>
  <autoFilter ref="A4:V271">
    <filterColumn colId="3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sortState ref="A16:AE59">
      <sortCondition ref="E4:E291"/>
    </sortState>
  </autoFilter>
  <mergeCells count="14">
    <mergeCell ref="F4:M4"/>
    <mergeCell ref="A1:V2"/>
    <mergeCell ref="V4:V6"/>
    <mergeCell ref="A4:A6"/>
    <mergeCell ref="B4:B6"/>
    <mergeCell ref="C4:C6"/>
    <mergeCell ref="E4:E6"/>
    <mergeCell ref="D4:D6"/>
    <mergeCell ref="F5:I5"/>
    <mergeCell ref="J5:M5"/>
    <mergeCell ref="N5:Q5"/>
    <mergeCell ref="R5:U5"/>
    <mergeCell ref="N4:Q4"/>
    <mergeCell ref="R4:U4"/>
  </mergeCells>
  <printOptions horizontalCentered="1"/>
  <pageMargins left="0" right="0" top="0" bottom="0" header="0.31496062992125984" footer="0.31496062992125984"/>
  <pageSetup paperSize="9" scale="48" orientation="landscape" horizontalDpi="180" verticalDpi="180" r:id="rId1"/>
  <rowBreaks count="3" manualBreakCount="3">
    <brk id="130" max="29" man="1"/>
    <brk id="148" max="29" man="1"/>
    <brk id="170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2020-12-04T08:16:37Z</dcterms:modified>
</cp:coreProperties>
</file>