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</sheets>
  <definedNames>
    <definedName name="_xlnm._FilterDatabase" localSheetId="0" hidden="1">Лист1!$A$4:$V$239</definedName>
    <definedName name="_xlnm.Print_Titles" localSheetId="0">Лист1!$4:$7</definedName>
  </definedNames>
  <calcPr calcId="125725" fullPrecision="0"/>
</workbook>
</file>

<file path=xl/calcChain.xml><?xml version="1.0" encoding="utf-8"?>
<calcChain xmlns="http://schemas.openxmlformats.org/spreadsheetml/2006/main">
  <c r="G118" i="1"/>
  <c r="H118"/>
  <c r="I118"/>
  <c r="J118"/>
  <c r="K118"/>
  <c r="L118"/>
  <c r="M118"/>
  <c r="N118"/>
  <c r="O118"/>
  <c r="P118"/>
  <c r="Q118"/>
  <c r="R118"/>
  <c r="S118"/>
  <c r="T118"/>
  <c r="U118"/>
  <c r="F118"/>
  <c r="K194"/>
  <c r="L140"/>
  <c r="K140"/>
  <c r="I10"/>
  <c r="M10"/>
  <c r="O10"/>
  <c r="Q10"/>
  <c r="S10"/>
  <c r="U10"/>
  <c r="R13"/>
  <c r="N13"/>
  <c r="J13"/>
  <c r="F13"/>
  <c r="K43"/>
  <c r="L42"/>
  <c r="K111"/>
  <c r="G111"/>
  <c r="G95"/>
  <c r="K26"/>
  <c r="L73"/>
  <c r="K73"/>
  <c r="K216"/>
  <c r="L214"/>
  <c r="K214"/>
  <c r="K221"/>
  <c r="K122"/>
  <c r="G221"/>
  <c r="G158"/>
  <c r="G161"/>
  <c r="H16"/>
  <c r="G16"/>
  <c r="L15"/>
  <c r="K15"/>
  <c r="H15"/>
  <c r="G15"/>
  <c r="L44"/>
  <c r="K44"/>
  <c r="G104"/>
  <c r="H85"/>
  <c r="G85"/>
  <c r="K96"/>
  <c r="G100"/>
  <c r="G25"/>
  <c r="K27"/>
  <c r="K47"/>
  <c r="K69"/>
  <c r="K61"/>
  <c r="L53"/>
  <c r="K53"/>
  <c r="K55"/>
  <c r="K54"/>
  <c r="K226"/>
  <c r="R176" l="1"/>
  <c r="N176"/>
  <c r="J176"/>
  <c r="F176"/>
  <c r="K78"/>
  <c r="O214"/>
  <c r="V153"/>
  <c r="G155"/>
  <c r="K170"/>
  <c r="G168"/>
  <c r="G140"/>
  <c r="K19"/>
  <c r="K10" s="1"/>
  <c r="G43"/>
  <c r="G193"/>
  <c r="K104"/>
  <c r="K86"/>
  <c r="G99"/>
  <c r="R98"/>
  <c r="N98"/>
  <c r="J98"/>
  <c r="F98"/>
  <c r="G96"/>
  <c r="R92"/>
  <c r="N92"/>
  <c r="J92"/>
  <c r="F92"/>
  <c r="I90"/>
  <c r="K90"/>
  <c r="L90"/>
  <c r="M90"/>
  <c r="Q90"/>
  <c r="S90"/>
  <c r="T90"/>
  <c r="U90"/>
  <c r="G79"/>
  <c r="G22"/>
  <c r="G28"/>
  <c r="G23"/>
  <c r="K24"/>
  <c r="G69"/>
  <c r="K52"/>
  <c r="K36"/>
  <c r="G36"/>
  <c r="G233"/>
  <c r="J175"/>
  <c r="N175"/>
  <c r="R175"/>
  <c r="F175"/>
  <c r="G173"/>
  <c r="H173"/>
  <c r="I173"/>
  <c r="K173"/>
  <c r="L173"/>
  <c r="M173"/>
  <c r="O173"/>
  <c r="P173"/>
  <c r="Q173"/>
  <c r="S173"/>
  <c r="T173"/>
  <c r="U173"/>
  <c r="H151"/>
  <c r="H150"/>
  <c r="N12"/>
  <c r="R12"/>
  <c r="J12"/>
  <c r="F12"/>
  <c r="H35"/>
  <c r="H22"/>
  <c r="T18"/>
  <c r="T10" s="1"/>
  <c r="P18"/>
  <c r="P10" s="1"/>
  <c r="H18"/>
  <c r="H73"/>
  <c r="L36"/>
  <c r="G17"/>
  <c r="G10" s="1"/>
  <c r="H17"/>
  <c r="H10" s="1"/>
  <c r="K35"/>
  <c r="L19"/>
  <c r="L10" s="1"/>
  <c r="G20" l="1"/>
  <c r="V92"/>
  <c r="V98"/>
  <c r="V12"/>
  <c r="V175"/>
  <c r="L211"/>
  <c r="K211"/>
  <c r="R216"/>
  <c r="N216"/>
  <c r="J216"/>
  <c r="F216"/>
  <c r="H211"/>
  <c r="I211"/>
  <c r="M211"/>
  <c r="O211"/>
  <c r="P211"/>
  <c r="Q211"/>
  <c r="S211"/>
  <c r="T211"/>
  <c r="U211"/>
  <c r="G73"/>
  <c r="G214"/>
  <c r="G211" s="1"/>
  <c r="V216" l="1"/>
  <c r="K166"/>
  <c r="S182"/>
  <c r="G182"/>
  <c r="G181"/>
  <c r="G39"/>
  <c r="G38"/>
  <c r="G220"/>
  <c r="S210"/>
  <c r="R210" s="1"/>
  <c r="O210"/>
  <c r="G210"/>
  <c r="O205"/>
  <c r="G205"/>
  <c r="S204"/>
  <c r="O204"/>
  <c r="G204"/>
  <c r="S201"/>
  <c r="O201"/>
  <c r="G201"/>
  <c r="S200"/>
  <c r="O200"/>
  <c r="H39"/>
  <c r="H38"/>
  <c r="H36"/>
  <c r="I202"/>
  <c r="K202"/>
  <c r="L202"/>
  <c r="M202"/>
  <c r="Q202"/>
  <c r="S202"/>
  <c r="U202"/>
  <c r="R207"/>
  <c r="N207"/>
  <c r="J207"/>
  <c r="F207"/>
  <c r="T204"/>
  <c r="T202" s="1"/>
  <c r="P204"/>
  <c r="P202" s="1"/>
  <c r="H204"/>
  <c r="H202" s="1"/>
  <c r="G166"/>
  <c r="H166"/>
  <c r="I166"/>
  <c r="L166"/>
  <c r="M166"/>
  <c r="O166"/>
  <c r="P166"/>
  <c r="Q166"/>
  <c r="S166"/>
  <c r="T166"/>
  <c r="U166"/>
  <c r="R170"/>
  <c r="R171"/>
  <c r="R172"/>
  <c r="N170"/>
  <c r="N171"/>
  <c r="N172"/>
  <c r="J170"/>
  <c r="J171"/>
  <c r="J172"/>
  <c r="F170"/>
  <c r="F171"/>
  <c r="F172"/>
  <c r="G64"/>
  <c r="V170" l="1"/>
  <c r="V171"/>
  <c r="V207"/>
  <c r="O202"/>
  <c r="G202"/>
  <c r="P94"/>
  <c r="P90" s="1"/>
  <c r="O94"/>
  <c r="O90" s="1"/>
  <c r="H94"/>
  <c r="H90" s="1"/>
  <c r="G94"/>
  <c r="G90" s="1"/>
  <c r="J47"/>
  <c r="R65"/>
  <c r="R64"/>
  <c r="N65"/>
  <c r="N64"/>
  <c r="R185"/>
  <c r="N185"/>
  <c r="J185"/>
  <c r="F185"/>
  <c r="R161"/>
  <c r="R159" s="1"/>
  <c r="H144"/>
  <c r="F144" s="1"/>
  <c r="U62"/>
  <c r="G62"/>
  <c r="H62"/>
  <c r="I62"/>
  <c r="K62"/>
  <c r="L62"/>
  <c r="M62"/>
  <c r="O62"/>
  <c r="Q62"/>
  <c r="S62"/>
  <c r="T62"/>
  <c r="P62"/>
  <c r="J64"/>
  <c r="J65"/>
  <c r="V65" s="1"/>
  <c r="F64"/>
  <c r="F65"/>
  <c r="Q147"/>
  <c r="S147"/>
  <c r="T147"/>
  <c r="G147"/>
  <c r="H147"/>
  <c r="I147"/>
  <c r="K147"/>
  <c r="L147"/>
  <c r="M147"/>
  <c r="O147"/>
  <c r="P147"/>
  <c r="G162"/>
  <c r="H162"/>
  <c r="I162"/>
  <c r="K162"/>
  <c r="L162"/>
  <c r="M162"/>
  <c r="O162"/>
  <c r="P162"/>
  <c r="Q162"/>
  <c r="S162"/>
  <c r="T162"/>
  <c r="U162"/>
  <c r="R164"/>
  <c r="R162" s="1"/>
  <c r="N164"/>
  <c r="N162" s="1"/>
  <c r="J164"/>
  <c r="F164"/>
  <c r="G159"/>
  <c r="H159"/>
  <c r="I159"/>
  <c r="K159"/>
  <c r="L159"/>
  <c r="M159"/>
  <c r="O159"/>
  <c r="P159"/>
  <c r="Q159"/>
  <c r="S159"/>
  <c r="T159"/>
  <c r="U159"/>
  <c r="N161"/>
  <c r="N159" s="1"/>
  <c r="J161"/>
  <c r="F161"/>
  <c r="U156"/>
  <c r="G156"/>
  <c r="H156"/>
  <c r="I156"/>
  <c r="K156"/>
  <c r="L156"/>
  <c r="M156"/>
  <c r="O156"/>
  <c r="P156"/>
  <c r="Q156"/>
  <c r="S156"/>
  <c r="T156"/>
  <c r="R158"/>
  <c r="R156" s="1"/>
  <c r="N158"/>
  <c r="N156" s="1"/>
  <c r="J158"/>
  <c r="F158"/>
  <c r="G152"/>
  <c r="H152"/>
  <c r="I152"/>
  <c r="K152"/>
  <c r="L152"/>
  <c r="M152"/>
  <c r="O152"/>
  <c r="P152"/>
  <c r="Q152"/>
  <c r="S152"/>
  <c r="T152"/>
  <c r="U152"/>
  <c r="R154"/>
  <c r="R155"/>
  <c r="N154"/>
  <c r="N155"/>
  <c r="J154"/>
  <c r="J155"/>
  <c r="F154"/>
  <c r="F155"/>
  <c r="R149"/>
  <c r="R150"/>
  <c r="R151"/>
  <c r="N149"/>
  <c r="N150"/>
  <c r="N151"/>
  <c r="J149"/>
  <c r="J150"/>
  <c r="J151"/>
  <c r="F149"/>
  <c r="F150"/>
  <c r="F151"/>
  <c r="H234"/>
  <c r="H231"/>
  <c r="H228"/>
  <c r="H222"/>
  <c r="H218"/>
  <c r="H208"/>
  <c r="H198"/>
  <c r="H190"/>
  <c r="H187"/>
  <c r="H179"/>
  <c r="H138"/>
  <c r="H128"/>
  <c r="H123"/>
  <c r="H120"/>
  <c r="H115"/>
  <c r="H112"/>
  <c r="H109"/>
  <c r="H101"/>
  <c r="H83"/>
  <c r="H75"/>
  <c r="H70"/>
  <c r="H66"/>
  <c r="H57"/>
  <c r="H49"/>
  <c r="H45"/>
  <c r="H40"/>
  <c r="H32"/>
  <c r="H20"/>
  <c r="G234"/>
  <c r="I234"/>
  <c r="K234"/>
  <c r="L234"/>
  <c r="M234"/>
  <c r="O234"/>
  <c r="P234"/>
  <c r="Q234"/>
  <c r="S234"/>
  <c r="T234"/>
  <c r="U234"/>
  <c r="R236"/>
  <c r="R237"/>
  <c r="N236"/>
  <c r="N237"/>
  <c r="J236"/>
  <c r="J237"/>
  <c r="F236"/>
  <c r="F237"/>
  <c r="G231"/>
  <c r="I231"/>
  <c r="K231"/>
  <c r="L231"/>
  <c r="M231"/>
  <c r="O231"/>
  <c r="P231"/>
  <c r="Q231"/>
  <c r="S231"/>
  <c r="T231"/>
  <c r="U231"/>
  <c r="R233"/>
  <c r="R231" s="1"/>
  <c r="N233"/>
  <c r="N231" s="1"/>
  <c r="J233"/>
  <c r="F233"/>
  <c r="G228"/>
  <c r="I228"/>
  <c r="K228"/>
  <c r="L228"/>
  <c r="M228"/>
  <c r="O228"/>
  <c r="P228"/>
  <c r="Q228"/>
  <c r="S228"/>
  <c r="T228"/>
  <c r="U228"/>
  <c r="R230"/>
  <c r="R228" s="1"/>
  <c r="N230"/>
  <c r="N228" s="1"/>
  <c r="J230"/>
  <c r="J228" s="1"/>
  <c r="F230"/>
  <c r="F228" s="1"/>
  <c r="G222"/>
  <c r="I222"/>
  <c r="K222"/>
  <c r="L222"/>
  <c r="M222"/>
  <c r="O222"/>
  <c r="P222"/>
  <c r="Q222"/>
  <c r="S222"/>
  <c r="T222"/>
  <c r="U222"/>
  <c r="R224"/>
  <c r="R225"/>
  <c r="R226"/>
  <c r="N224"/>
  <c r="N225"/>
  <c r="N226"/>
  <c r="J224"/>
  <c r="J225"/>
  <c r="J226"/>
  <c r="F226"/>
  <c r="F224"/>
  <c r="F225"/>
  <c r="G218"/>
  <c r="I218"/>
  <c r="K218"/>
  <c r="L218"/>
  <c r="M218"/>
  <c r="O218"/>
  <c r="P218"/>
  <c r="Q218"/>
  <c r="S218"/>
  <c r="T218"/>
  <c r="U218"/>
  <c r="R220"/>
  <c r="R221"/>
  <c r="N220"/>
  <c r="N221"/>
  <c r="J220"/>
  <c r="J221"/>
  <c r="F220"/>
  <c r="F221"/>
  <c r="R213"/>
  <c r="R214"/>
  <c r="R215"/>
  <c r="N213"/>
  <c r="N214"/>
  <c r="N215"/>
  <c r="J213"/>
  <c r="J214"/>
  <c r="J215"/>
  <c r="F213"/>
  <c r="F214"/>
  <c r="F215"/>
  <c r="G208"/>
  <c r="I208"/>
  <c r="K208"/>
  <c r="L208"/>
  <c r="M208"/>
  <c r="O208"/>
  <c r="P208"/>
  <c r="Q208"/>
  <c r="S208"/>
  <c r="T208"/>
  <c r="U208"/>
  <c r="N210"/>
  <c r="J210"/>
  <c r="F210"/>
  <c r="R205"/>
  <c r="R206"/>
  <c r="N204"/>
  <c r="N205"/>
  <c r="N206"/>
  <c r="J204"/>
  <c r="J205"/>
  <c r="J206"/>
  <c r="F204"/>
  <c r="F205"/>
  <c r="F206"/>
  <c r="G198"/>
  <c r="I198"/>
  <c r="K198"/>
  <c r="L198"/>
  <c r="M198"/>
  <c r="O198"/>
  <c r="P198"/>
  <c r="Q198"/>
  <c r="S198"/>
  <c r="T198"/>
  <c r="U198"/>
  <c r="R200"/>
  <c r="R201"/>
  <c r="N200"/>
  <c r="N201"/>
  <c r="J200"/>
  <c r="J201"/>
  <c r="F200"/>
  <c r="F201"/>
  <c r="G190"/>
  <c r="I190"/>
  <c r="K190"/>
  <c r="L190"/>
  <c r="M190"/>
  <c r="O190"/>
  <c r="P190"/>
  <c r="Q190"/>
  <c r="S190"/>
  <c r="T190"/>
  <c r="U190"/>
  <c r="R192"/>
  <c r="R193"/>
  <c r="R194"/>
  <c r="R195"/>
  <c r="R196"/>
  <c r="N192"/>
  <c r="N193"/>
  <c r="N194"/>
  <c r="N195"/>
  <c r="N196"/>
  <c r="J192"/>
  <c r="J193"/>
  <c r="J194"/>
  <c r="J195"/>
  <c r="J196"/>
  <c r="F192"/>
  <c r="F193"/>
  <c r="F194"/>
  <c r="F195"/>
  <c r="F196"/>
  <c r="J191"/>
  <c r="G187"/>
  <c r="I187"/>
  <c r="K187"/>
  <c r="L187"/>
  <c r="M187"/>
  <c r="O187"/>
  <c r="P187"/>
  <c r="Q187"/>
  <c r="S187"/>
  <c r="T187"/>
  <c r="U187"/>
  <c r="R189"/>
  <c r="R187" s="1"/>
  <c r="N189"/>
  <c r="N187" s="1"/>
  <c r="J189"/>
  <c r="J187" s="1"/>
  <c r="F189"/>
  <c r="F187" s="1"/>
  <c r="U179"/>
  <c r="G179"/>
  <c r="I179"/>
  <c r="K179"/>
  <c r="L179"/>
  <c r="M179"/>
  <c r="O179"/>
  <c r="P179"/>
  <c r="Q179"/>
  <c r="S179"/>
  <c r="T179"/>
  <c r="R181"/>
  <c r="R182"/>
  <c r="R183"/>
  <c r="R184"/>
  <c r="R186"/>
  <c r="N181"/>
  <c r="N182"/>
  <c r="N183"/>
  <c r="N184"/>
  <c r="N186"/>
  <c r="J181"/>
  <c r="J182"/>
  <c r="J183"/>
  <c r="J184"/>
  <c r="J186"/>
  <c r="F181"/>
  <c r="F182"/>
  <c r="F183"/>
  <c r="F184"/>
  <c r="F186"/>
  <c r="M165"/>
  <c r="Q165"/>
  <c r="R177"/>
  <c r="R173" s="1"/>
  <c r="N177"/>
  <c r="N173" s="1"/>
  <c r="J177"/>
  <c r="F177"/>
  <c r="F173" s="1"/>
  <c r="I165"/>
  <c r="K165"/>
  <c r="O165"/>
  <c r="S165"/>
  <c r="U165"/>
  <c r="R168"/>
  <c r="R169"/>
  <c r="N168"/>
  <c r="N169"/>
  <c r="J168"/>
  <c r="J169"/>
  <c r="F168"/>
  <c r="F169"/>
  <c r="G142"/>
  <c r="I142"/>
  <c r="K142"/>
  <c r="L142"/>
  <c r="M142"/>
  <c r="O142"/>
  <c r="P142"/>
  <c r="Q142"/>
  <c r="S142"/>
  <c r="T142"/>
  <c r="U142"/>
  <c r="R144"/>
  <c r="R145"/>
  <c r="N144"/>
  <c r="N145"/>
  <c r="J144"/>
  <c r="V144" s="1"/>
  <c r="J145"/>
  <c r="F145"/>
  <c r="G138"/>
  <c r="I138"/>
  <c r="K138"/>
  <c r="L138"/>
  <c r="M138"/>
  <c r="O138"/>
  <c r="P138"/>
  <c r="Q138"/>
  <c r="S138"/>
  <c r="T138"/>
  <c r="U138"/>
  <c r="R141"/>
  <c r="R140"/>
  <c r="N140"/>
  <c r="N141"/>
  <c r="J140"/>
  <c r="J141"/>
  <c r="F140"/>
  <c r="F141"/>
  <c r="G128"/>
  <c r="I128"/>
  <c r="K128"/>
  <c r="L128"/>
  <c r="M128"/>
  <c r="O128"/>
  <c r="P128"/>
  <c r="Q128"/>
  <c r="S128"/>
  <c r="T128"/>
  <c r="U128"/>
  <c r="R130"/>
  <c r="R131"/>
  <c r="R132"/>
  <c r="R133"/>
  <c r="R134"/>
  <c r="R135"/>
  <c r="R136"/>
  <c r="N130"/>
  <c r="N131"/>
  <c r="N132"/>
  <c r="N133"/>
  <c r="N134"/>
  <c r="N135"/>
  <c r="N136"/>
  <c r="J130"/>
  <c r="J131"/>
  <c r="J132"/>
  <c r="J133"/>
  <c r="J134"/>
  <c r="J135"/>
  <c r="J136"/>
  <c r="F130"/>
  <c r="F131"/>
  <c r="F132"/>
  <c r="F133"/>
  <c r="F134"/>
  <c r="F135"/>
  <c r="F136"/>
  <c r="G123"/>
  <c r="I123"/>
  <c r="K123"/>
  <c r="L123"/>
  <c r="M123"/>
  <c r="O123"/>
  <c r="P123"/>
  <c r="Q123"/>
  <c r="S123"/>
  <c r="T123"/>
  <c r="U123"/>
  <c r="R125"/>
  <c r="R126"/>
  <c r="R127"/>
  <c r="N125"/>
  <c r="N126"/>
  <c r="N127"/>
  <c r="J125"/>
  <c r="J126"/>
  <c r="J127"/>
  <c r="F125"/>
  <c r="F126"/>
  <c r="F127"/>
  <c r="G120"/>
  <c r="I120"/>
  <c r="K120"/>
  <c r="L120"/>
  <c r="M120"/>
  <c r="O120"/>
  <c r="P120"/>
  <c r="Q120"/>
  <c r="S120"/>
  <c r="T120"/>
  <c r="U120"/>
  <c r="R122"/>
  <c r="N122"/>
  <c r="J122"/>
  <c r="F122"/>
  <c r="G75"/>
  <c r="I75"/>
  <c r="K75"/>
  <c r="L75"/>
  <c r="M75"/>
  <c r="O75"/>
  <c r="P75"/>
  <c r="Q75"/>
  <c r="S75"/>
  <c r="T75"/>
  <c r="U75"/>
  <c r="G115"/>
  <c r="I115"/>
  <c r="K115"/>
  <c r="L115"/>
  <c r="M115"/>
  <c r="O115"/>
  <c r="P115"/>
  <c r="Q115"/>
  <c r="S115"/>
  <c r="T115"/>
  <c r="U115"/>
  <c r="R117"/>
  <c r="R115" s="1"/>
  <c r="N117"/>
  <c r="N115" s="1"/>
  <c r="J117"/>
  <c r="F117"/>
  <c r="G112"/>
  <c r="I112"/>
  <c r="K112"/>
  <c r="L112"/>
  <c r="M112"/>
  <c r="O112"/>
  <c r="P112"/>
  <c r="Q112"/>
  <c r="S112"/>
  <c r="T112"/>
  <c r="U112"/>
  <c r="R114"/>
  <c r="R112" s="1"/>
  <c r="N114"/>
  <c r="N112" s="1"/>
  <c r="J114"/>
  <c r="F114"/>
  <c r="G109"/>
  <c r="I109"/>
  <c r="K109"/>
  <c r="L109"/>
  <c r="M109"/>
  <c r="O109"/>
  <c r="P109"/>
  <c r="Q109"/>
  <c r="S109"/>
  <c r="T109"/>
  <c r="U109"/>
  <c r="R111"/>
  <c r="R109" s="1"/>
  <c r="N111"/>
  <c r="N109" s="1"/>
  <c r="J111"/>
  <c r="F111"/>
  <c r="F109" s="1"/>
  <c r="G101"/>
  <c r="I101"/>
  <c r="K101"/>
  <c r="L101"/>
  <c r="M101"/>
  <c r="O101"/>
  <c r="P101"/>
  <c r="Q101"/>
  <c r="S101"/>
  <c r="T101"/>
  <c r="U101"/>
  <c r="R103"/>
  <c r="R104"/>
  <c r="R105"/>
  <c r="R106"/>
  <c r="R107"/>
  <c r="R108"/>
  <c r="N103"/>
  <c r="N104"/>
  <c r="N105"/>
  <c r="N106"/>
  <c r="N107"/>
  <c r="N108"/>
  <c r="J103"/>
  <c r="J104"/>
  <c r="J105"/>
  <c r="J106"/>
  <c r="J107"/>
  <c r="J108"/>
  <c r="F103"/>
  <c r="F104"/>
  <c r="F105"/>
  <c r="F106"/>
  <c r="F107"/>
  <c r="F108"/>
  <c r="R93"/>
  <c r="R94"/>
  <c r="R95"/>
  <c r="R96"/>
  <c r="R97"/>
  <c r="R99"/>
  <c r="R100"/>
  <c r="N93"/>
  <c r="N95"/>
  <c r="N96"/>
  <c r="N97"/>
  <c r="N99"/>
  <c r="N100"/>
  <c r="J93"/>
  <c r="J94"/>
  <c r="J95"/>
  <c r="J96"/>
  <c r="J97"/>
  <c r="J99"/>
  <c r="J100"/>
  <c r="F93"/>
  <c r="F95"/>
  <c r="F96"/>
  <c r="F97"/>
  <c r="F99"/>
  <c r="F100"/>
  <c r="G83"/>
  <c r="I83"/>
  <c r="K83"/>
  <c r="L83"/>
  <c r="M83"/>
  <c r="O83"/>
  <c r="P83"/>
  <c r="Q83"/>
  <c r="S83"/>
  <c r="T83"/>
  <c r="U83"/>
  <c r="R85"/>
  <c r="R86"/>
  <c r="R87"/>
  <c r="R88"/>
  <c r="R89"/>
  <c r="N85"/>
  <c r="N86"/>
  <c r="N87"/>
  <c r="N88"/>
  <c r="N89"/>
  <c r="J85"/>
  <c r="J86"/>
  <c r="J87"/>
  <c r="J88"/>
  <c r="J89"/>
  <c r="F85"/>
  <c r="F86"/>
  <c r="F87"/>
  <c r="F88"/>
  <c r="F89"/>
  <c r="R77"/>
  <c r="R78"/>
  <c r="R79"/>
  <c r="R80"/>
  <c r="R81"/>
  <c r="R82"/>
  <c r="N77"/>
  <c r="N78"/>
  <c r="N79"/>
  <c r="N80"/>
  <c r="N81"/>
  <c r="N82"/>
  <c r="J77"/>
  <c r="J78"/>
  <c r="V78" s="1"/>
  <c r="J79"/>
  <c r="J80"/>
  <c r="J81"/>
  <c r="J82"/>
  <c r="V82" s="1"/>
  <c r="F77"/>
  <c r="F78"/>
  <c r="F79"/>
  <c r="F80"/>
  <c r="F81"/>
  <c r="F82"/>
  <c r="R72"/>
  <c r="R73"/>
  <c r="N72"/>
  <c r="N73"/>
  <c r="J72"/>
  <c r="J73"/>
  <c r="F72"/>
  <c r="F73"/>
  <c r="I70"/>
  <c r="K70"/>
  <c r="L70"/>
  <c r="M70"/>
  <c r="O70"/>
  <c r="P70"/>
  <c r="Q70"/>
  <c r="S70"/>
  <c r="T70"/>
  <c r="U70"/>
  <c r="R68"/>
  <c r="R69"/>
  <c r="N68"/>
  <c r="N69"/>
  <c r="J68"/>
  <c r="J69"/>
  <c r="F68"/>
  <c r="F69"/>
  <c r="G66"/>
  <c r="I66"/>
  <c r="K66"/>
  <c r="L66"/>
  <c r="M66"/>
  <c r="O66"/>
  <c r="P66"/>
  <c r="Q66"/>
  <c r="S66"/>
  <c r="T66"/>
  <c r="U66"/>
  <c r="G57"/>
  <c r="I57"/>
  <c r="K57"/>
  <c r="L57"/>
  <c r="M57"/>
  <c r="O57"/>
  <c r="P57"/>
  <c r="Q57"/>
  <c r="S57"/>
  <c r="T57"/>
  <c r="U57"/>
  <c r="R59"/>
  <c r="R60"/>
  <c r="R61"/>
  <c r="N59"/>
  <c r="N60"/>
  <c r="N61"/>
  <c r="J59"/>
  <c r="J60"/>
  <c r="J61"/>
  <c r="F59"/>
  <c r="F60"/>
  <c r="F61"/>
  <c r="G49"/>
  <c r="I49"/>
  <c r="K49"/>
  <c r="L49"/>
  <c r="M49"/>
  <c r="O49"/>
  <c r="P49"/>
  <c r="Q49"/>
  <c r="S49"/>
  <c r="T49"/>
  <c r="U49"/>
  <c r="R51"/>
  <c r="R52"/>
  <c r="R53"/>
  <c r="R54"/>
  <c r="R55"/>
  <c r="R56"/>
  <c r="N51"/>
  <c r="N52"/>
  <c r="N53"/>
  <c r="N54"/>
  <c r="N55"/>
  <c r="N56"/>
  <c r="J51"/>
  <c r="J52"/>
  <c r="J53"/>
  <c r="J54"/>
  <c r="J55"/>
  <c r="J56"/>
  <c r="F51"/>
  <c r="F52"/>
  <c r="F53"/>
  <c r="F54"/>
  <c r="F55"/>
  <c r="F56"/>
  <c r="G45"/>
  <c r="I45"/>
  <c r="K45"/>
  <c r="L45"/>
  <c r="M45"/>
  <c r="O45"/>
  <c r="P45"/>
  <c r="Q45"/>
  <c r="S45"/>
  <c r="T45"/>
  <c r="U45"/>
  <c r="R47"/>
  <c r="R45" s="1"/>
  <c r="N47"/>
  <c r="F47"/>
  <c r="G40"/>
  <c r="I40"/>
  <c r="K40"/>
  <c r="L40"/>
  <c r="M40"/>
  <c r="O40"/>
  <c r="P40"/>
  <c r="Q40"/>
  <c r="S40"/>
  <c r="T40"/>
  <c r="U40"/>
  <c r="R42"/>
  <c r="R43"/>
  <c r="R44"/>
  <c r="N42"/>
  <c r="N43"/>
  <c r="N44"/>
  <c r="J42"/>
  <c r="J43"/>
  <c r="J44"/>
  <c r="F42"/>
  <c r="F43"/>
  <c r="F44"/>
  <c r="G32"/>
  <c r="I32"/>
  <c r="K32"/>
  <c r="L32"/>
  <c r="M32"/>
  <c r="O32"/>
  <c r="P32"/>
  <c r="Q32"/>
  <c r="S32"/>
  <c r="T32"/>
  <c r="U32"/>
  <c r="R34"/>
  <c r="R35"/>
  <c r="R36"/>
  <c r="R37"/>
  <c r="R38"/>
  <c r="R39"/>
  <c r="N34"/>
  <c r="N35"/>
  <c r="N36"/>
  <c r="N37"/>
  <c r="N38"/>
  <c r="N39"/>
  <c r="J34"/>
  <c r="J35"/>
  <c r="J36"/>
  <c r="J37"/>
  <c r="J38"/>
  <c r="J39"/>
  <c r="F34"/>
  <c r="F35"/>
  <c r="F36"/>
  <c r="F37"/>
  <c r="F38"/>
  <c r="F39"/>
  <c r="R22"/>
  <c r="R23"/>
  <c r="R24"/>
  <c r="R25"/>
  <c r="R26"/>
  <c r="R27"/>
  <c r="R28"/>
  <c r="R29"/>
  <c r="R30"/>
  <c r="R31"/>
  <c r="N22"/>
  <c r="N23"/>
  <c r="N24"/>
  <c r="N25"/>
  <c r="N26"/>
  <c r="N27"/>
  <c r="N28"/>
  <c r="N29"/>
  <c r="N30"/>
  <c r="N31"/>
  <c r="J22"/>
  <c r="J23"/>
  <c r="J24"/>
  <c r="J25"/>
  <c r="J26"/>
  <c r="J27"/>
  <c r="J28"/>
  <c r="J29"/>
  <c r="J30"/>
  <c r="J31"/>
  <c r="F23"/>
  <c r="F24"/>
  <c r="F25"/>
  <c r="F26"/>
  <c r="F27"/>
  <c r="F28"/>
  <c r="V28" s="1"/>
  <c r="F29"/>
  <c r="F30"/>
  <c r="F31"/>
  <c r="F22"/>
  <c r="I20"/>
  <c r="K20"/>
  <c r="L20"/>
  <c r="M20"/>
  <c r="O20"/>
  <c r="P20"/>
  <c r="Q20"/>
  <c r="S20"/>
  <c r="T20"/>
  <c r="U20"/>
  <c r="R14"/>
  <c r="R15"/>
  <c r="R16"/>
  <c r="R17"/>
  <c r="R18"/>
  <c r="R19"/>
  <c r="N14"/>
  <c r="N15"/>
  <c r="N16"/>
  <c r="N17"/>
  <c r="N18"/>
  <c r="N19"/>
  <c r="J14"/>
  <c r="J15"/>
  <c r="J16"/>
  <c r="J17"/>
  <c r="J18"/>
  <c r="J19"/>
  <c r="F14"/>
  <c r="F15"/>
  <c r="F16"/>
  <c r="F17"/>
  <c r="F18"/>
  <c r="F19"/>
  <c r="V169" l="1"/>
  <c r="T217"/>
  <c r="I217"/>
  <c r="V19"/>
  <c r="V17"/>
  <c r="V72"/>
  <c r="V93"/>
  <c r="V125"/>
  <c r="V182"/>
  <c r="M217"/>
  <c r="V136"/>
  <c r="V132"/>
  <c r="V59"/>
  <c r="V87"/>
  <c r="V195"/>
  <c r="V192"/>
  <c r="V210"/>
  <c r="U217"/>
  <c r="P217"/>
  <c r="K217"/>
  <c r="V55"/>
  <c r="V51"/>
  <c r="V108"/>
  <c r="V104"/>
  <c r="Q217"/>
  <c r="L217"/>
  <c r="V226"/>
  <c r="V155"/>
  <c r="R10"/>
  <c r="N10"/>
  <c r="J10"/>
  <c r="F10"/>
  <c r="V25"/>
  <c r="F20"/>
  <c r="V16"/>
  <c r="V31"/>
  <c r="V24"/>
  <c r="V54"/>
  <c r="V68"/>
  <c r="V81"/>
  <c r="V77"/>
  <c r="V89"/>
  <c r="V86"/>
  <c r="V97"/>
  <c r="V122"/>
  <c r="V141"/>
  <c r="V168"/>
  <c r="V186"/>
  <c r="V181"/>
  <c r="V194"/>
  <c r="V201"/>
  <c r="V225"/>
  <c r="V237"/>
  <c r="V154"/>
  <c r="V64"/>
  <c r="V185"/>
  <c r="V213"/>
  <c r="V145"/>
  <c r="V37"/>
  <c r="V34"/>
  <c r="V42"/>
  <c r="V60"/>
  <c r="V133"/>
  <c r="V206"/>
  <c r="V215"/>
  <c r="V221"/>
  <c r="V47"/>
  <c r="V14"/>
  <c r="V29"/>
  <c r="V26"/>
  <c r="V22"/>
  <c r="V52"/>
  <c r="V61"/>
  <c r="V88"/>
  <c r="V100"/>
  <c r="V95"/>
  <c r="V106"/>
  <c r="V103"/>
  <c r="V111"/>
  <c r="V127"/>
  <c r="V134"/>
  <c r="V130"/>
  <c r="V196"/>
  <c r="V105"/>
  <c r="V149"/>
  <c r="V30"/>
  <c r="V27"/>
  <c r="V23"/>
  <c r="V44"/>
  <c r="V53"/>
  <c r="V80"/>
  <c r="V107"/>
  <c r="V135"/>
  <c r="V131"/>
  <c r="V224"/>
  <c r="V236"/>
  <c r="R166"/>
  <c r="R165" s="1"/>
  <c r="V214"/>
  <c r="V69"/>
  <c r="J159"/>
  <c r="V161"/>
  <c r="J115"/>
  <c r="V117"/>
  <c r="J173"/>
  <c r="V173" s="1"/>
  <c r="V177"/>
  <c r="J162"/>
  <c r="V164"/>
  <c r="V205"/>
  <c r="V35"/>
  <c r="V15"/>
  <c r="V36"/>
  <c r="V85"/>
  <c r="V96"/>
  <c r="V140"/>
  <c r="V193"/>
  <c r="V151"/>
  <c r="J112"/>
  <c r="V114"/>
  <c r="J231"/>
  <c r="V233"/>
  <c r="J156"/>
  <c r="V158"/>
  <c r="V220"/>
  <c r="V38"/>
  <c r="V39"/>
  <c r="V43"/>
  <c r="V73"/>
  <c r="V79"/>
  <c r="V150"/>
  <c r="R90"/>
  <c r="J90"/>
  <c r="N211"/>
  <c r="H9"/>
  <c r="R211"/>
  <c r="J211"/>
  <c r="J202"/>
  <c r="F115"/>
  <c r="F211"/>
  <c r="F45"/>
  <c r="F156"/>
  <c r="F112"/>
  <c r="F162"/>
  <c r="F231"/>
  <c r="F159"/>
  <c r="J109"/>
  <c r="V109" s="1"/>
  <c r="H142"/>
  <c r="H137" s="1"/>
  <c r="N202"/>
  <c r="F202"/>
  <c r="N166"/>
  <c r="N165" s="1"/>
  <c r="J166"/>
  <c r="F166"/>
  <c r="F165" s="1"/>
  <c r="R204"/>
  <c r="R202" s="1"/>
  <c r="N94"/>
  <c r="N90" s="1"/>
  <c r="F94"/>
  <c r="V94" s="1"/>
  <c r="J45"/>
  <c r="J147"/>
  <c r="Q146"/>
  <c r="P146"/>
  <c r="J120"/>
  <c r="Q137"/>
  <c r="L137"/>
  <c r="H217"/>
  <c r="J62"/>
  <c r="M74"/>
  <c r="Q74"/>
  <c r="L74"/>
  <c r="F234"/>
  <c r="N234"/>
  <c r="N227" s="1"/>
  <c r="F147"/>
  <c r="J152"/>
  <c r="R152"/>
  <c r="I146"/>
  <c r="L146"/>
  <c r="T74"/>
  <c r="U74"/>
  <c r="P74"/>
  <c r="K74"/>
  <c r="R120"/>
  <c r="J198"/>
  <c r="H74"/>
  <c r="R147"/>
  <c r="U146"/>
  <c r="K146"/>
  <c r="T146"/>
  <c r="M146"/>
  <c r="H146"/>
  <c r="N62"/>
  <c r="G165"/>
  <c r="N147"/>
  <c r="S217"/>
  <c r="J234"/>
  <c r="R234"/>
  <c r="R227" s="1"/>
  <c r="F152"/>
  <c r="N152"/>
  <c r="G146"/>
  <c r="R62"/>
  <c r="O217"/>
  <c r="S146"/>
  <c r="O146"/>
  <c r="O74"/>
  <c r="S74"/>
  <c r="G74"/>
  <c r="F62"/>
  <c r="G217"/>
  <c r="I74"/>
  <c r="H48"/>
  <c r="I48"/>
  <c r="T137"/>
  <c r="O137"/>
  <c r="I137"/>
  <c r="N198"/>
  <c r="L227"/>
  <c r="M48"/>
  <c r="R57"/>
  <c r="N66"/>
  <c r="T48"/>
  <c r="O48"/>
  <c r="J123"/>
  <c r="G137"/>
  <c r="J142"/>
  <c r="R142"/>
  <c r="S178"/>
  <c r="G178"/>
  <c r="I197"/>
  <c r="J208"/>
  <c r="R208"/>
  <c r="U48"/>
  <c r="N120"/>
  <c r="Q9"/>
  <c r="F40"/>
  <c r="U137"/>
  <c r="P137"/>
  <c r="K137"/>
  <c r="L178"/>
  <c r="U178"/>
  <c r="L197"/>
  <c r="M197"/>
  <c r="S227"/>
  <c r="G227"/>
  <c r="L165"/>
  <c r="M9"/>
  <c r="F66"/>
  <c r="K48"/>
  <c r="J138"/>
  <c r="R190"/>
  <c r="S197"/>
  <c r="T227"/>
  <c r="U9"/>
  <c r="K9"/>
  <c r="R32"/>
  <c r="R49"/>
  <c r="S48"/>
  <c r="F120"/>
  <c r="N123"/>
  <c r="R123"/>
  <c r="F142"/>
  <c r="N142"/>
  <c r="P178"/>
  <c r="K178"/>
  <c r="J190"/>
  <c r="K197"/>
  <c r="Q197"/>
  <c r="Q227"/>
  <c r="H178"/>
  <c r="M227"/>
  <c r="S9"/>
  <c r="G9"/>
  <c r="P48"/>
  <c r="R138"/>
  <c r="N190"/>
  <c r="G197"/>
  <c r="I227"/>
  <c r="O227"/>
  <c r="H165"/>
  <c r="O9"/>
  <c r="I9"/>
  <c r="Q48"/>
  <c r="L48"/>
  <c r="F70"/>
  <c r="S137"/>
  <c r="M137"/>
  <c r="T165"/>
  <c r="O178"/>
  <c r="Q178"/>
  <c r="M178"/>
  <c r="I178"/>
  <c r="O197"/>
  <c r="U197"/>
  <c r="J218"/>
  <c r="R218"/>
  <c r="J222"/>
  <c r="U227"/>
  <c r="P227"/>
  <c r="K227"/>
  <c r="H227"/>
  <c r="R179"/>
  <c r="N218"/>
  <c r="N208"/>
  <c r="F208"/>
  <c r="R198"/>
  <c r="R222"/>
  <c r="F222"/>
  <c r="N32"/>
  <c r="P165"/>
  <c r="N75"/>
  <c r="N70"/>
  <c r="N179"/>
  <c r="F179"/>
  <c r="T197"/>
  <c r="P197"/>
  <c r="H197"/>
  <c r="J179"/>
  <c r="J49"/>
  <c r="J40"/>
  <c r="J32"/>
  <c r="F32"/>
  <c r="F49"/>
  <c r="F57"/>
  <c r="F75"/>
  <c r="F123"/>
  <c r="F190"/>
  <c r="F218"/>
  <c r="F198"/>
  <c r="R75"/>
  <c r="J75"/>
  <c r="T178"/>
  <c r="L9"/>
  <c r="R70"/>
  <c r="J70"/>
  <c r="J57"/>
  <c r="N49"/>
  <c r="R40"/>
  <c r="N40"/>
  <c r="T9"/>
  <c r="P9"/>
  <c r="J20"/>
  <c r="N45"/>
  <c r="J83"/>
  <c r="R83"/>
  <c r="F128"/>
  <c r="J128"/>
  <c r="N128"/>
  <c r="R128"/>
  <c r="N222"/>
  <c r="N20"/>
  <c r="F83"/>
  <c r="N83"/>
  <c r="R20"/>
  <c r="N57"/>
  <c r="J66"/>
  <c r="R66"/>
  <c r="F138"/>
  <c r="N138"/>
  <c r="F101"/>
  <c r="J101"/>
  <c r="N101"/>
  <c r="R101"/>
  <c r="V179" l="1"/>
  <c r="V123"/>
  <c r="V120"/>
  <c r="V166"/>
  <c r="V45"/>
  <c r="V62"/>
  <c r="V49"/>
  <c r="V222"/>
  <c r="V57"/>
  <c r="V162"/>
  <c r="V115"/>
  <c r="V218"/>
  <c r="V142"/>
  <c r="V159"/>
  <c r="V101"/>
  <c r="V128"/>
  <c r="V112"/>
  <c r="V32"/>
  <c r="J227"/>
  <c r="V234"/>
  <c r="V202"/>
  <c r="V156"/>
  <c r="V198"/>
  <c r="V70"/>
  <c r="V75"/>
  <c r="V40"/>
  <c r="V208"/>
  <c r="V211"/>
  <c r="V231"/>
  <c r="V138"/>
  <c r="V66"/>
  <c r="V83"/>
  <c r="V152"/>
  <c r="V147"/>
  <c r="V190"/>
  <c r="F90"/>
  <c r="V90" s="1"/>
  <c r="V10"/>
  <c r="F227"/>
  <c r="J165"/>
  <c r="V165" s="1"/>
  <c r="J137"/>
  <c r="N217"/>
  <c r="J146"/>
  <c r="R137"/>
  <c r="F146"/>
  <c r="R146"/>
  <c r="M8"/>
  <c r="K8"/>
  <c r="R217"/>
  <c r="J217"/>
  <c r="N146"/>
  <c r="J74"/>
  <c r="N137"/>
  <c r="J178"/>
  <c r="R74"/>
  <c r="N74"/>
  <c r="F217"/>
  <c r="J197"/>
  <c r="N178"/>
  <c r="F137"/>
  <c r="F178"/>
  <c r="F48"/>
  <c r="O8"/>
  <c r="S8"/>
  <c r="Q8"/>
  <c r="U8"/>
  <c r="N48"/>
  <c r="R48"/>
  <c r="R178"/>
  <c r="J48"/>
  <c r="I8"/>
  <c r="R197"/>
  <c r="N197"/>
  <c r="F197"/>
  <c r="P8"/>
  <c r="R9"/>
  <c r="H8"/>
  <c r="T8"/>
  <c r="L8"/>
  <c r="J9"/>
  <c r="N9"/>
  <c r="F9"/>
  <c r="V20" l="1"/>
  <c r="V137"/>
  <c r="V178"/>
  <c r="V217"/>
  <c r="V118"/>
  <c r="V197"/>
  <c r="V48"/>
  <c r="V146"/>
  <c r="V227"/>
  <c r="F74"/>
  <c r="F8" s="1"/>
  <c r="V9"/>
  <c r="J8"/>
  <c r="R8"/>
  <c r="N8"/>
  <c r="V74" l="1"/>
  <c r="V8"/>
  <c r="G70" l="1"/>
  <c r="G48" s="1"/>
  <c r="G8" s="1"/>
</calcChain>
</file>

<file path=xl/sharedStrings.xml><?xml version="1.0" encoding="utf-8"?>
<sst xmlns="http://schemas.openxmlformats.org/spreadsheetml/2006/main" count="740" uniqueCount="396">
  <si>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</si>
  <si>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</si>
  <si>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</si>
  <si>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</si>
  <si>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</si>
  <si>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 xml:space="preserve">Плановые ассигнования*, в том числе 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</si>
  <si>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</si>
  <si>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</si>
  <si>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</si>
  <si>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</si>
  <si>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за счет средств местного бюджета**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</si>
  <si>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</si>
  <si>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</si>
  <si>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</si>
  <si>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</si>
  <si>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</si>
  <si>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</si>
  <si>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</si>
  <si>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</si>
  <si>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</si>
  <si>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</si>
  <si>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</si>
  <si>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Приобретение автотранспорта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</si>
  <si>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</si>
  <si>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</si>
  <si>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</si>
  <si>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</si>
  <si>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</si>
  <si>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</si>
  <si>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</si>
  <si>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</si>
  <si>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"Содействие занятости женщин - создание условий дошкольного образования для детей в возрасте до трех лет", всего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</si>
  <si>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</si>
  <si>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</si>
  <si>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</si>
  <si>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</si>
  <si>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</si>
  <si>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 xml:space="preserve">1.5 </t>
  </si>
  <si>
    <t>Региональный проект "Укрепление общественного здоровья"</t>
  </si>
  <si>
    <t>Создание и демонстрация рекламно - информационных материалов в СМИ, сети "Интернет", в медицинских организациях и общественных местах, разработка печатной продукции по формированию здорового образа жизни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</si>
  <si>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</si>
  <si>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</si>
  <si>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</si>
  <si>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</si>
  <si>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Создание и замена фельдшерских, фельдшерско-акушерских пунктов и врачебных амбулаторий для населенных пунктов с численностью населения от 100 до 2000 человек</t>
  </si>
  <si>
    <t>Обеспечение закупки авиационных работ органами государственной власти субъектов Российской Федерации в целях оказания медицинской помощи</t>
  </si>
  <si>
    <t>Организация проведения профилактических медицинских осмотров</t>
  </si>
  <si>
    <t>Оказание медицинской помощи с применением санитарной авиации</t>
  </si>
  <si>
    <t>Функционирование регионального проектного офиса по созданию и внедрению "Новой модели медицинской организации, оказывающей первичную медико-санитарную помощь"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</si>
  <si>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</si>
  <si>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</si>
  <si>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</si>
  <si>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Профилактика развития сердечно-сосудистых заболеваний и сердечно-сосудистых осложнений у пациентов высокого риска</t>
  </si>
  <si>
    <t>2.3</t>
  </si>
  <si>
    <t>Региональный проект "Развитие детского здравоохранения, включая создание современной инфраструктуры оказания медицинской помощи детям", всего</t>
  </si>
  <si>
    <t>Развитие материально-технической базы детских поликлиник и детских поликлинических отделений медицинских организаций, оказывающих первичную медико-санитарную помощь</t>
  </si>
  <si>
    <t>Развитие профилактического направления в педиатрии</t>
  </si>
  <si>
    <t>2.4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</si>
  <si>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</si>
  <si>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</si>
  <si>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Обеспечение работоспособности государственных информационных систем в сфере здравоохранения, подключенных к ЕГИСЗ</t>
  </si>
  <si>
    <t>2.5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</si>
  <si>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</si>
  <si>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</si>
  <si>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</si>
  <si>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</si>
  <si>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</si>
  <si>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</si>
  <si>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Оснащение зданий средствами обучения и воспитания для размещения общеобразовательных организаций</t>
  </si>
  <si>
    <t>3.2</t>
  </si>
  <si>
    <t>Региональный проект "Цифровая образовательная среда", всего</t>
  </si>
  <si>
    <t>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</si>
  <si>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</si>
  <si>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</si>
  <si>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</si>
  <si>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</si>
  <si>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</si>
  <si>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</si>
  <si>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Формирование современных управленческих и организационно-экономических механизмов в системе дополнительного образования детей в субъектах Российской Федерации</t>
  </si>
  <si>
    <t>Внедрение целевой модели развития региональных систем дополнительного образования детей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</si>
  <si>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</si>
  <si>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</si>
  <si>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</t>
  </si>
  <si>
    <t>Функционирование центра опережающей профессиональной подготовки</t>
  </si>
  <si>
    <t>Обеспечение проведения аттестации обучающихся по программам среднего профессионального образования с использованием механизма демонстрационного экзамена</t>
  </si>
  <si>
    <t>Внедрение программ профессионального обучения по наиболее востребованным и перспективным профессиям на уровне, соответствующем стандартам Ворлдскиллс, с учетом продолжительности программ не более 6 месяцев</t>
  </si>
  <si>
    <t>Повышение квалификации преподавателей (мастеров производственного обучения) по программам, основанным на опыте Союза Ворлдскиллс Россия</t>
  </si>
  <si>
    <t>3.5</t>
  </si>
  <si>
    <t>Региональный проект "Учитель будущего", всего</t>
  </si>
  <si>
    <t>Обеспечение непрерывного и планомерного повышения квалификации педагогических работников</t>
  </si>
  <si>
    <t>4</t>
  </si>
  <si>
    <t>Национальный проект "Цифровая экономика"</t>
  </si>
  <si>
    <t>4.1</t>
  </si>
  <si>
    <t>4.2</t>
  </si>
  <si>
    <t>Региональный проект "Цифровые технологии"</t>
  </si>
  <si>
    <t>Финансовое обеспечение затрат, возникающих при реализации проекта "Цифровые технологии"</t>
  </si>
  <si>
    <t>Департамент по развитию инновационной и предпринимательской деятельности Томской области</t>
  </si>
  <si>
    <t>4.3</t>
  </si>
  <si>
    <t>Региональный проект "Информационная безопасность"</t>
  </si>
  <si>
    <t>Администрация Томской области</t>
  </si>
  <si>
    <t>Региональный проект "Цифровое государственное управление"</t>
  </si>
  <si>
    <t>Внедрение цифровых технологий и платформенных решений в сферах государственного управления и оказания государственных и муниципальных услуг</t>
  </si>
  <si>
    <t>Обеспечение возможности доступа пользователей в модели "одного окна" посредством единого портала государственных и муниципальных услуг (функций) к информации, созданной органами государственной власти, органами местного самоуправления и органами государственных внебюджетных фондов, а также к иной общедоступной информации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</si>
  <si>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</si>
  <si>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</si>
  <si>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</si>
  <si>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</si>
  <si>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</si>
  <si>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</si>
  <si>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5.2  </t>
  </si>
  <si>
    <t>Региональный проект "Обеспечение устойчивого  сокращения непригодного для проживания жилищного фонда"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</si>
  <si>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</si>
  <si>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</si>
  <si>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</si>
  <si>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</si>
  <si>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</si>
  <si>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</si>
  <si>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</si>
  <si>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</si>
  <si>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</si>
  <si>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Региональный проект "Чистая вода", всего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</si>
  <si>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</si>
  <si>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</si>
  <si>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</si>
  <si>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 xml:space="preserve"> Региональный проект «Комплексная система обращения с твердыми коммунальными отходами», всего</t>
  </si>
  <si>
    <t>Введение в промышленную эксплуатацию мощностей по обработке твердых коммунальных отходов и мощностей по утилизации отходов и фракций после обработки твердых коммунальных отходов</t>
  </si>
  <si>
    <t>Департамент природных ресурсов и охраны окружающей среды Томской области</t>
  </si>
  <si>
    <t>6.4</t>
  </si>
  <si>
    <t>Региональный проект «Сохранение уникальных водных объектов»</t>
  </si>
  <si>
    <t>Восстановление и экологическая реабилитация водных объектов</t>
  </si>
  <si>
    <t>7</t>
  </si>
  <si>
    <t>Национальный проект "Безопасные и качественные автомобильные дороги"</t>
  </si>
  <si>
    <t>7.1</t>
  </si>
  <si>
    <t>Региональный проект "Дорожная сеть", всего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</si>
  <si>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</si>
  <si>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</si>
  <si>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</si>
  <si>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</si>
  <si>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</si>
  <si>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</si>
  <si>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</si>
  <si>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</si>
  <si>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"Цифровая культура"</t>
  </si>
  <si>
    <t>Создание виртуальных концертных залов</t>
  </si>
  <si>
    <t>8.3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</si>
  <si>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</si>
  <si>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</si>
  <si>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</si>
  <si>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</si>
  <si>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</si>
  <si>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Региональный проект "Расширение доступа субъектов малого и среднего предпринимательства к финансовым ресурсам, в том числе к льготному финансированию", всего</t>
  </si>
  <si>
    <t>9.2</t>
  </si>
  <si>
    <t>Региональный проект "Акселерация субъектов малого и среднего предпринимательства", всего</t>
  </si>
  <si>
    <t>9.3</t>
  </si>
  <si>
    <t>Региональный проект "Популяризация предпринимательства", всего</t>
  </si>
  <si>
    <t>9.4</t>
  </si>
  <si>
    <t>Региональный проект "Создание системы поддержки фермеров и развитие сельской кооперации"</t>
  </si>
  <si>
    <t>Департамент по социально-экономическому развитию села Томской области</t>
  </si>
  <si>
    <t>Гранты "Агростартап" на реализацию проектов создания и развития крестьянских (фермерских) хозяйств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</si>
  <si>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</si>
  <si>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</si>
  <si>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</si>
  <si>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</si>
  <si>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Региональный проект "Адресная поддержка повышения производительности труда на предприятиях", всего</t>
  </si>
  <si>
    <t>10.2</t>
  </si>
  <si>
    <t>Региональный проект "Поддержка занятости и повышение эффективности рынка труда для обеспечения роста производительности труда"</t>
  </si>
  <si>
    <t>** по данным финансовых органов муниципальных образований (средства на софинансирование региональных проектов за счет местных бюджетов)</t>
  </si>
  <si>
    <t>Капитальный ремонт муниципальных спортивных сооружений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</si>
  <si>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</si>
  <si>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</si>
  <si>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</si>
  <si>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3.6</t>
  </si>
  <si>
    <t>Региональный проект "Поддержка семей, имеющих детей", всего</t>
  </si>
  <si>
    <t>Государственная поддержка некоммерческих организаций в целях оказания психолого-педагогической, методической и консультативной помощи гражданам, имеющим детей</t>
  </si>
  <si>
    <t>Создание новых мест в общеобразовательных организациях, расположенных в сельской местности и поселках городского типа (Корниловская СОШ)</t>
  </si>
  <si>
    <t xml:space="preserve">Создание новых мест в общеобразовательных организациях </t>
  </si>
  <si>
    <t>2020 год</t>
  </si>
  <si>
    <t>Плановые ассигнования*, в том числе</t>
  </si>
  <si>
    <t>2021 год</t>
  </si>
  <si>
    <t>2022 год</t>
  </si>
  <si>
    <t>03WI455271</t>
  </si>
  <si>
    <t>03WI455272</t>
  </si>
  <si>
    <t>Поддержка малого и среднего предпринимательства в субъектах Российской Федерации по созданию и развитию государственной микрофинансовой организации</t>
  </si>
  <si>
    <t>03WI555272</t>
  </si>
  <si>
    <t>03WI555273</t>
  </si>
  <si>
    <t>Финансовое обеспечение затрат на развитие и обеспечение деятельности Гарантийного фонда Томской области</t>
  </si>
  <si>
    <t>Поддержка малого и среднего предпринимательства в субъектах Российской Федерации по созданию системы акселерации субъектов МСП, включая индивидуальных предпринимателей, в том числе инфраструктуры и сервисов поддержки, а также их ускоренное развитие</t>
  </si>
  <si>
    <t>Субсидия муниципальному образованию "Городской округ закрытое административно-территориальное образование Северск Томской области"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</si>
  <si>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03WI555274</t>
  </si>
  <si>
    <t>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</si>
  <si>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03WI855275</t>
  </si>
  <si>
    <t>Поддержка малого и среднего предпринимательства в субъектах Российской Федерации по формированию положительного образа предпринимательства среди населения Томской области, а также вовлечение различных категорий граждан, включая самозанятых, в сектор малого и среднего предпринимательства, в том числе создание новых субъектов МСП</t>
  </si>
  <si>
    <t>Поддержка субъектов Российской Федерации - участников национального проекта "Производительность труда и поддержка занятости"</t>
  </si>
  <si>
    <t>03WL252961</t>
  </si>
  <si>
    <t>Повышение эффективности службы занятости</t>
  </si>
  <si>
    <t>05WL352910</t>
  </si>
  <si>
    <t>05WL355691</t>
  </si>
  <si>
    <t>Возмещение затрат организациям - участникам регионального проекта "Поддержка занятости и повышение эффективности рынка труда для обеспечения роста производительности труда" на переобучение, повышение квалификации работников</t>
  </si>
  <si>
    <t>Возмещение затрат некоммерческим организациям на переобучение, повышение квалификации работников организаций - участников регионального проекта "Поддержка занятости и повышение эффективности рынка труда для обеспечения роста производительности труда"</t>
  </si>
  <si>
    <t>05WL355693</t>
  </si>
  <si>
    <t>05WP254610</t>
  </si>
  <si>
    <t>Переобучение и повышение квалификации женщин в период отпуска по уходу за ребенком в возрасте до трех лет, а также женщин, имеющих детей дошкольного возраста, не состоящих в трудовых отношениях и обратившихся в органы службы занятости</t>
  </si>
  <si>
    <t>05WP254611</t>
  </si>
  <si>
    <t>Возмещение затрат работодателям на профессиональное обучение и дополнительное профессиональное образование женщин, находящихся в отпуске по уходу за ребенком в возрасте до трех лет</t>
  </si>
  <si>
    <t>05WP254613</t>
  </si>
  <si>
    <t>Возмещение затрат некоммерческим организациям на профессиональное обучение и дополнительное профессиональное образование женщин, находящихся в отпуске по уходу за ребенком в возрасте до трех лет, а также женщин, имеющих детей дошкольного возраста, не состоящих в трудовых отношениях и обратившихся в органы службы занятости</t>
  </si>
  <si>
    <t>06WI754801</t>
  </si>
  <si>
    <t>06WI754802</t>
  </si>
  <si>
    <t>06WI754803</t>
  </si>
  <si>
    <t>Возмещение части затрат сельскохозяйственных потребительских кооперативов</t>
  </si>
  <si>
    <t>11.1</t>
  </si>
  <si>
    <t>Региональный проект "Экспорт продукции агропромышленного комплекса"</t>
  </si>
  <si>
    <t>Региональный проект "Международная кооперация и экспорт"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</si>
  <si>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</si>
  <si>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</si>
  <si>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</si>
  <si>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</t>
  </si>
  <si>
    <t>07WN151910</t>
  </si>
  <si>
    <t>07WN151960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</si>
  <si>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</si>
  <si>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</si>
  <si>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</si>
  <si>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</si>
  <si>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</si>
  <si>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</si>
  <si>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07WN352270</t>
  </si>
  <si>
    <t>07WN451700</t>
  </si>
  <si>
    <t>07WN751140</t>
  </si>
  <si>
    <t>07WP354680</t>
  </si>
  <si>
    <t>Региональный проект "Социальная активность", всего</t>
  </si>
  <si>
    <t>3.7</t>
  </si>
  <si>
    <t>Проведение Всероссийского конкурса лучших региональных практик поддержки волонтерства "Регион добрых дел"</t>
  </si>
  <si>
    <t>08WE854120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</si>
  <si>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</si>
  <si>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</si>
  <si>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</si>
  <si>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</si>
  <si>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</si>
  <si>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</si>
  <si>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</si>
  <si>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</si>
  <si>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</si>
  <si>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</si>
  <si>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</si>
  <si>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</si>
  <si>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</si>
  <si>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</si>
  <si>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09WE252470</t>
  </si>
  <si>
    <t>Создание мобильных технопарков "Кванториум"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</si>
  <si>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</si>
  <si>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</si>
  <si>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</si>
  <si>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</si>
  <si>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</si>
  <si>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09WP252320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</si>
  <si>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</si>
  <si>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</si>
  <si>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Создание модельных муниципальных библиотек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</si>
  <si>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</si>
  <si>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</si>
  <si>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</si>
  <si>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</si>
  <si>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</si>
  <si>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</si>
  <si>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</si>
  <si>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</si>
  <si>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</si>
  <si>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</si>
  <si>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Организация профессионального обучения и дополнительного профессионального образования лиц в возрасте 50-ти лет и старше, а также лиц предпенсионного возраста</t>
  </si>
  <si>
    <t>11WP352940</t>
  </si>
  <si>
    <t>Возмещение затрат работодателям на профессиональное обучение и дополнительное профессиональное образование работников в возрасте 50-ти лет и старше, а также лиц предпенсионного возраста</t>
  </si>
  <si>
    <t>11WP352941</t>
  </si>
  <si>
    <t>Возмещение затрат некоммерческим организациям на профессиональное обучение и дополнительное профессиональное образование граждан в возрасте 50-ти лет и старше, а также лиц предпенсионного возраста</t>
  </si>
  <si>
    <t>11WP352943</t>
  </si>
  <si>
    <t>13WF255550</t>
  </si>
  <si>
    <t>13WF367483</t>
  </si>
  <si>
    <t>15WG850570</t>
  </si>
  <si>
    <t>15WGА54290</t>
  </si>
  <si>
    <t>15WGА54300</t>
  </si>
  <si>
    <t>15WGА54320</t>
  </si>
  <si>
    <t>18WR153930</t>
  </si>
  <si>
    <t>19WG552430</t>
  </si>
  <si>
    <t>Доведение уровня безопасности объектов критической информационной инфраструктуры до установленных законодательством Российской Федерации требований</t>
  </si>
  <si>
    <t>20WD454070</t>
  </si>
  <si>
    <t>20WD650080</t>
  </si>
  <si>
    <t>Обеспечение развития системы межведомственного электронного взаимодействия на территориях субъектов Российской Федерации</t>
  </si>
  <si>
    <t>6.5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</si>
  <si>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</si>
  <si>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</si>
  <si>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</si>
  <si>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20WD622700</t>
  </si>
  <si>
    <t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инфраструктурных, технологических и методологических решениях</t>
  </si>
  <si>
    <t>20WD622500</t>
  </si>
  <si>
    <t>20WD620400</t>
  </si>
  <si>
    <t>11.2</t>
  </si>
  <si>
    <t>Региональный проект "Системные меры развития международной кооперации и экспорта"</t>
  </si>
  <si>
    <t>Выполнение мероприятий по внедрению Регионального экспортного стандарта 2.0</t>
  </si>
  <si>
    <t>01WT600940</t>
  </si>
  <si>
    <t>20WD623500</t>
  </si>
  <si>
    <t>20WD461632</t>
  </si>
  <si>
    <t>Обеспечение использования отечественных разработок и технологий при передаче, обработке и хранении данных</t>
  </si>
  <si>
    <t>20WD600005</t>
  </si>
  <si>
    <t>Обеспечение регистрации пользователей в единой биометрической системе в МФЦ</t>
  </si>
  <si>
    <t>20WD464142</t>
  </si>
  <si>
    <t>Обеспечение устойчивости и безопасности функционирования информационной инфраструктуры и сервисов передачи, обработки и хранения данных</t>
  </si>
  <si>
    <t>11.3</t>
  </si>
  <si>
    <t>Региональный проект "Экспорт услуг"</t>
  </si>
  <si>
    <t>Обеспечение участия Томской области в международных выставочно-ярмарочных мероприятиях в сфере туризма</t>
  </si>
  <si>
    <t>01WT400012</t>
  </si>
  <si>
    <t>20WD623600</t>
  </si>
  <si>
    <t>Обеспечение функционирования и развития инфраструктуры электронного правительства, а также информационных систем, направленных на предоставление государственных услуг и исполнение государственных функций в электронном виде</t>
  </si>
  <si>
    <t>01WT400011</t>
  </si>
  <si>
    <t>Продвижение туристического потенциала Томской области, в том числе среди иностранных туристов</t>
  </si>
  <si>
    <t>11WP1Д0840</t>
  </si>
  <si>
    <t>26WG252970</t>
  </si>
  <si>
    <t>07WN751141</t>
  </si>
  <si>
    <t>07WN1Д5540</t>
  </si>
  <si>
    <t>07WN100001</t>
  </si>
  <si>
    <t>07WN2Д0002</t>
  </si>
  <si>
    <t>07WN400004</t>
  </si>
  <si>
    <t>07WP4Д0003</t>
  </si>
  <si>
    <t>07WN100101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</si>
  <si>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</si>
  <si>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</si>
  <si>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</si>
  <si>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08WP540590</t>
  </si>
  <si>
    <t>Приобретение в муниципальную собственность объектов спортивного назначения</t>
  </si>
  <si>
    <t>08WP540006</t>
  </si>
  <si>
    <t>08WP540600</t>
  </si>
  <si>
    <t>Приобретение спортивно-технологического оборудования для создания хоккейных коробок с возможностью использования в летний период</t>
  </si>
  <si>
    <t>10WA2Д0273</t>
  </si>
  <si>
    <t>Организация и проведение творческих фестивалей и конкурсов для детей и молодежи</t>
  </si>
  <si>
    <t>10WA204300</t>
  </si>
  <si>
    <t>10WA2Д0275</t>
  </si>
  <si>
    <t>Реализация всероссийских и международных творческих проектов в области музыкального и театрального искусства</t>
  </si>
  <si>
    <t>10WA2Д0276</t>
  </si>
  <si>
    <t>Реализация выставочных проектов ведущих федеральных и региональных музеев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</si>
  <si>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</si>
  <si>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</si>
  <si>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10WA1Д4540</t>
  </si>
  <si>
    <t>09WE452102</t>
  </si>
  <si>
    <t>09WE362292</t>
  </si>
  <si>
    <t>09WE516200</t>
  </si>
  <si>
    <t>09WE155202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</si>
  <si>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</si>
  <si>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09WE155201</t>
  </si>
  <si>
    <t>09WE262352</t>
  </si>
  <si>
    <t>Реализация пилотных проектов по обновлению содержания и технологий дополнительного образования по приоритетным направлениям</t>
  </si>
  <si>
    <t>09WE251890</t>
  </si>
  <si>
    <t>09WE255370</t>
  </si>
  <si>
    <t>09WE661635</t>
  </si>
  <si>
    <t>09WE661637</t>
  </si>
  <si>
    <t>Вовлечение в различные формы наставничества обучающихся организаций, осуществляющих образовательную деятельность по образовательным программам среднего профессионального образования</t>
  </si>
  <si>
    <t>09WE661624</t>
  </si>
  <si>
    <t>09WE661634</t>
  </si>
  <si>
    <t>09WE661636</t>
  </si>
  <si>
    <t>Функционирование учебной производственной площадки "Фабрика процессов"</t>
  </si>
  <si>
    <t>03WL252962</t>
  </si>
  <si>
    <t>09WE452101</t>
  </si>
  <si>
    <t>09WE651771</t>
  </si>
  <si>
    <t>08WP540010</t>
  </si>
  <si>
    <t>13WF367484</t>
  </si>
  <si>
    <t>11WP30П009</t>
  </si>
  <si>
    <t>Разработка (корректировка) проектной документации в сфере социального обслуживания населения</t>
  </si>
  <si>
    <t>Разработка проектной документации на строительство муниципальных объектов недвижимого имущества в сфере дошкольного образования</t>
  </si>
  <si>
    <t>09WP24П090</t>
  </si>
  <si>
    <t>13WF254240</t>
  </si>
  <si>
    <t>09WE152300</t>
  </si>
  <si>
    <t>Региональный проект "Общесистемные меры развития дорожного хозяйства", всего</t>
  </si>
  <si>
    <t>Региональный проект "Общесистемные меры развития дорожного хозяйства"</t>
  </si>
  <si>
    <t>18WR200000</t>
  </si>
  <si>
    <t>19WG501140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</si>
  <si>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</si>
  <si>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02WD501700</t>
  </si>
  <si>
    <t>18WR353930</t>
  </si>
  <si>
    <t>7.2</t>
  </si>
  <si>
    <t>10WA1Д5190</t>
  </si>
  <si>
    <t>(тыс. руб.)</t>
  </si>
  <si>
    <t>Департамент защиты населения и территории Томской области</t>
  </si>
  <si>
    <t>* по данным сводной бюджетной росписи областного бюджета на 2020-2022 годы по состоянию на отчетную дату; лимиты бюджетных обязательств соответствуют плановым назначениям</t>
  </si>
  <si>
    <t>Поддержка малого и среднего предпринимательства по созданию системы акселерации субъектов малого и среднего предпринимательства, включая индивидуальных предпринимателей, в том числе инфраструктуры и сервисов поддержки, а также их ускоренное развитие</t>
  </si>
  <si>
    <t>03WI555276</t>
  </si>
  <si>
    <t>06WI754804</t>
  </si>
  <si>
    <t>% исполнения (2020 год)</t>
  </si>
  <si>
    <t>Новое строительство и реконструкция (Хирургический корпус на 120 коек с поликлиникой на 200 п/смену ОГАУЗ "Томский областной онкологический диспансер"  )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</si>
  <si>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 (Строительство спальных корпусов № 1 на 100 койко-мест и № 3 на 70 койко-мест с помещениями административно-бытового обслуживания ОГБУ "Итатский дом-интернат для престарелых и инвалидов" по адресу: Томский район, с.Итатка, ул.Северная,3 )</t>
  </si>
  <si>
    <t>11WP354680</t>
  </si>
  <si>
    <t>18WR254180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</si>
  <si>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</si>
  <si>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09WE201660</t>
  </si>
  <si>
    <t>Грант в форме субсидии федеральному государственному автономному образовательному учреждению высшего образования "Национальный исследовательский Томский государственный университет" на реализацию пилотных проектов по обновлению содержания и технологий дополнительного образования по приоритетным направлениям</t>
  </si>
  <si>
    <t>09WE255371</t>
  </si>
  <si>
    <t>Информационно-методическое сопровождение кружкового движения и организация проведения Олимпиады Национальной технологической инициативы (Олимпиады НТИ)</t>
  </si>
  <si>
    <t>09WE255372</t>
  </si>
  <si>
    <t>Информация о плановых ассигнованиях и кассовом исполнении расходов консолидированного бюджета Томской области
на реализацию региональных проектов Томской области по состоянию на 01.05.2020</t>
  </si>
  <si>
    <t>11WP352930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</si>
</sst>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5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i/>
      <sz val="13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name val="Times New Roman"/>
      <family val="1"/>
      <charset val="204"/>
    </font>
    <font>
      <i/>
      <sz val="13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color theme="1"/>
      <name val="Times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2" borderId="4" xfId="0" applyFont="1" applyFill="1" applyBorder="1" applyAlignment="1">
      <alignment horizontal="center" vertical="top"/>
    </xf>
    <xf numFmtId="0" fontId="0" fillId="0" borderId="0" xfId="0" applyFill="1"/>
    <xf numFmtId="11" fontId="0" fillId="0" borderId="0" xfId="0" applyNumberFormat="1" applyFill="1"/>
    <xf numFmtId="0" fontId="2" fillId="0" borderId="4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 wrapText="1"/>
    </xf>
    <xf numFmtId="0" fontId="9" fillId="0" borderId="0" xfId="0" applyFont="1" applyFill="1"/>
    <xf numFmtId="11" fontId="4" fillId="0" borderId="4" xfId="0" applyNumberFormat="1" applyFont="1" applyFill="1" applyBorder="1" applyAlignment="1">
      <alignment horizontal="center" vertical="top"/>
    </xf>
    <xf numFmtId="0" fontId="6" fillId="0" borderId="0" xfId="0" applyFont="1" applyFill="1"/>
    <xf numFmtId="0" fontId="0" fillId="0" borderId="0" xfId="0" applyFill="1" applyAlignment="1">
      <alignment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164" fontId="0" fillId="0" borderId="0" xfId="0" applyNumberFormat="1" applyFill="1"/>
    <xf numFmtId="0" fontId="2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4" fontId="2" fillId="2" borderId="4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left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top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0" fontId="7" fillId="3" borderId="4" xfId="0" applyFont="1" applyFill="1" applyBorder="1" applyAlignment="1">
      <alignment horizontal="center" vertical="top" wrapText="1"/>
    </xf>
    <xf numFmtId="49" fontId="2" fillId="3" borderId="4" xfId="0" applyNumberFormat="1" applyFont="1" applyFill="1" applyBorder="1" applyAlignment="1">
      <alignment horizontal="center" vertical="center"/>
    </xf>
    <xf numFmtId="11" fontId="4" fillId="3" borderId="4" xfId="0" applyNumberFormat="1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4" fontId="2" fillId="3" borderId="4" xfId="0" applyNumberFormat="1" applyFont="1" applyFill="1" applyBorder="1" applyAlignment="1">
      <alignment horizontal="center" vertical="top"/>
    </xf>
    <xf numFmtId="164" fontId="10" fillId="0" borderId="4" xfId="0" applyNumberFormat="1" applyFont="1" applyFill="1" applyBorder="1" applyAlignment="1">
      <alignment horizontal="center" vertical="top" wrapText="1"/>
    </xf>
    <xf numFmtId="164" fontId="1" fillId="2" borderId="4" xfId="0" applyNumberFormat="1" applyFont="1" applyFill="1" applyBorder="1" applyAlignment="1">
      <alignment horizontal="center" vertical="top"/>
    </xf>
    <xf numFmtId="164" fontId="1" fillId="3" borderId="4" xfId="0" applyNumberFormat="1" applyFont="1" applyFill="1" applyBorder="1" applyAlignment="1">
      <alignment horizontal="center" vertical="top"/>
    </xf>
    <xf numFmtId="164" fontId="11" fillId="3" borderId="4" xfId="0" applyNumberFormat="1" applyFont="1" applyFill="1" applyBorder="1" applyAlignment="1">
      <alignment horizontal="center" vertical="top"/>
    </xf>
    <xf numFmtId="164" fontId="1" fillId="0" borderId="4" xfId="0" applyNumberFormat="1" applyFont="1" applyFill="1" applyBorder="1" applyAlignment="1">
      <alignment horizontal="center" vertical="top"/>
    </xf>
    <xf numFmtId="164" fontId="12" fillId="3" borderId="4" xfId="0" applyNumberFormat="1" applyFont="1" applyFill="1" applyBorder="1" applyAlignment="1">
      <alignment horizontal="center" vertical="top"/>
    </xf>
    <xf numFmtId="164" fontId="11" fillId="3" borderId="4" xfId="0" applyNumberFormat="1" applyFont="1" applyFill="1" applyBorder="1" applyAlignment="1">
      <alignment vertical="top"/>
    </xf>
    <xf numFmtId="164" fontId="11" fillId="0" borderId="4" xfId="0" applyNumberFormat="1" applyFont="1" applyFill="1" applyBorder="1" applyAlignment="1">
      <alignment vertical="top"/>
    </xf>
    <xf numFmtId="164" fontId="13" fillId="3" borderId="4" xfId="0" applyNumberFormat="1" applyFont="1" applyFill="1" applyBorder="1" applyAlignment="1">
      <alignment vertical="top"/>
    </xf>
    <xf numFmtId="49" fontId="2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164" fontId="10" fillId="3" borderId="4" xfId="0" applyNumberFormat="1" applyFont="1" applyFill="1" applyBorder="1" applyAlignment="1">
      <alignment horizontal="center" vertical="top" wrapText="1"/>
    </xf>
    <xf numFmtId="0" fontId="0" fillId="3" borderId="0" xfId="0" applyFill="1"/>
    <xf numFmtId="164" fontId="1" fillId="0" borderId="4" xfId="0" applyNumberFormat="1" applyFont="1" applyFill="1" applyBorder="1" applyAlignment="1">
      <alignment vertical="top"/>
    </xf>
    <xf numFmtId="0" fontId="5" fillId="4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top" wrapText="1"/>
    </xf>
    <xf numFmtId="165" fontId="10" fillId="3" borderId="4" xfId="0" applyNumberFormat="1" applyFont="1" applyFill="1" applyBorder="1" applyAlignment="1">
      <alignment horizontal="center" vertical="top" wrapText="1"/>
    </xf>
    <xf numFmtId="165" fontId="1" fillId="2" borderId="4" xfId="0" applyNumberFormat="1" applyFont="1" applyFill="1" applyBorder="1" applyAlignment="1">
      <alignment horizontal="center" vertical="top"/>
    </xf>
    <xf numFmtId="165" fontId="1" fillId="3" borderId="4" xfId="0" applyNumberFormat="1" applyFont="1" applyFill="1" applyBorder="1" applyAlignment="1">
      <alignment horizontal="center" vertical="top"/>
    </xf>
    <xf numFmtId="165" fontId="1" fillId="0" borderId="4" xfId="0" applyNumberFormat="1" applyFont="1" applyFill="1" applyBorder="1" applyAlignment="1">
      <alignment horizontal="center" vertical="top"/>
    </xf>
    <xf numFmtId="0" fontId="14" fillId="0" borderId="0" xfId="0" applyFont="1" applyFill="1" applyAlignment="1">
      <alignment horizontal="center"/>
    </xf>
    <xf numFmtId="165" fontId="11" fillId="3" borderId="4" xfId="0" applyNumberFormat="1" applyFont="1" applyFill="1" applyBorder="1" applyAlignment="1">
      <alignment vertical="top"/>
    </xf>
    <xf numFmtId="165" fontId="13" fillId="3" borderId="4" xfId="0" applyNumberFormat="1" applyFont="1" applyFill="1" applyBorder="1" applyAlignment="1">
      <alignment vertical="top"/>
    </xf>
    <xf numFmtId="165" fontId="11" fillId="3" borderId="4" xfId="0" applyNumberFormat="1" applyFont="1" applyFill="1" applyBorder="1" applyAlignment="1">
      <alignment horizontal="center" vertical="top"/>
    </xf>
    <xf numFmtId="165" fontId="12" fillId="3" borderId="4" xfId="0" applyNumberFormat="1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1" fillId="0" borderId="0" xfId="0" applyFont="1" applyFill="1" applyAlignment="1">
      <alignment horizontal="center" wrapText="1"/>
    </xf>
    <xf numFmtId="0" fontId="3" fillId="0" borderId="5" xfId="0" applyFont="1" applyFill="1" applyBorder="1"/>
    <xf numFmtId="0" fontId="3" fillId="0" borderId="6" xfId="0" applyFont="1" applyFill="1" applyBorder="1"/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260"/>
  <sheetViews>
    <sheetView tabSelected="1" zoomScale="83" zoomScaleNormal="83" workbookViewId="0">
      <pane xSplit="5" ySplit="7" topLeftCell="F172" activePane="bottomRight" state="frozen"/>
      <selection pane="topRight" activeCell="F1" sqref="F1"/>
      <selection pane="bottomLeft" activeCell="A8" sqref="A8"/>
      <selection pane="bottomRight" activeCell="K2" sqref="K2"/>
    </sheetView>
  </sheetViews>
  <sheetFormatPr defaultColWidth="8.85546875" defaultRowHeight="15"/>
  <cols>
    <col min="1" max="1" width="6.42578125" style="2" customWidth="1"/>
    <col min="2" max="2" width="49" style="12" customWidth="1"/>
    <col min="3" max="3" width="7.7109375" style="2" customWidth="1"/>
    <col min="4" max="4" width="25.5703125" style="2" bestFit="1" customWidth="1"/>
    <col min="5" max="5" width="21.28515625" style="2" customWidth="1"/>
    <col min="6" max="6" width="17.42578125" style="2" bestFit="1" customWidth="1"/>
    <col min="7" max="7" width="16" style="2" bestFit="1" customWidth="1"/>
    <col min="8" max="8" width="16.42578125" style="2" bestFit="1" customWidth="1"/>
    <col min="9" max="9" width="13.5703125" style="2" bestFit="1" customWidth="1"/>
    <col min="10" max="10" width="15" style="2" customWidth="1"/>
    <col min="11" max="11" width="21.7109375" style="2" customWidth="1"/>
    <col min="12" max="12" width="16.42578125" style="2" bestFit="1" customWidth="1"/>
    <col min="13" max="13" width="13.5703125" style="2" bestFit="1" customWidth="1"/>
    <col min="14" max="14" width="17.42578125" style="2" customWidth="1"/>
    <col min="15" max="15" width="16" style="2" customWidth="1"/>
    <col min="16" max="16" width="17" style="2" customWidth="1"/>
    <col min="17" max="17" width="13.5703125" style="2" customWidth="1"/>
    <col min="18" max="19" width="16" style="2" customWidth="1"/>
    <col min="20" max="20" width="18.28515625" style="2" customWidth="1"/>
    <col min="21" max="21" width="13.5703125" style="2" customWidth="1"/>
    <col min="22" max="22" width="15.28515625" style="2" customWidth="1"/>
    <col min="23" max="23" width="8.85546875" style="2"/>
    <col min="24" max="24" width="11" style="2" bestFit="1" customWidth="1"/>
    <col min="25" max="16384" width="8.85546875" style="2"/>
  </cols>
  <sheetData>
    <row r="1" spans="1:24" ht="15" customHeight="1">
      <c r="A1" s="82" t="s">
        <v>394</v>
      </c>
      <c r="B1" s="82"/>
      <c r="C1" s="82"/>
      <c r="D1" s="82"/>
      <c r="E1" s="82"/>
    </row>
    <row r="2" spans="1:24" ht="37.5" customHeight="1">
      <c r="A2" s="82"/>
      <c r="B2" s="82"/>
      <c r="C2" s="82"/>
      <c r="D2" s="82"/>
      <c r="E2" s="82"/>
      <c r="J2" s="23"/>
      <c r="K2" s="23"/>
    </row>
    <row r="3" spans="1:24" ht="15.75">
      <c r="E3" s="3"/>
      <c r="U3" s="71" t="s">
        <v>377</v>
      </c>
    </row>
    <row r="4" spans="1:24" ht="16.5" customHeight="1">
      <c r="A4" s="76" t="s">
        <v>0</v>
      </c>
      <c r="B4" s="79" t="s">
        <v>1</v>
      </c>
      <c r="C4" s="76" t="s">
        <v>2</v>
      </c>
      <c r="D4" s="76" t="s">
        <v>3</v>
      </c>
      <c r="E4" s="76" t="s">
        <v>4</v>
      </c>
      <c r="F4" s="85" t="s">
        <v>176</v>
      </c>
      <c r="G4" s="86"/>
      <c r="H4" s="86"/>
      <c r="I4" s="86"/>
      <c r="J4" s="86"/>
      <c r="K4" s="86"/>
      <c r="L4" s="86"/>
      <c r="M4" s="87"/>
      <c r="N4" s="91" t="s">
        <v>178</v>
      </c>
      <c r="O4" s="91"/>
      <c r="P4" s="91"/>
      <c r="Q4" s="91"/>
      <c r="R4" s="91" t="s">
        <v>179</v>
      </c>
      <c r="S4" s="91"/>
      <c r="T4" s="91"/>
      <c r="U4" s="91"/>
      <c r="V4" s="88" t="s">
        <v>383</v>
      </c>
    </row>
    <row r="5" spans="1:24" ht="16.5" customHeight="1">
      <c r="A5" s="77"/>
      <c r="B5" s="80"/>
      <c r="C5" s="77"/>
      <c r="D5" s="77"/>
      <c r="E5" s="83"/>
      <c r="F5" s="85" t="s">
        <v>5</v>
      </c>
      <c r="G5" s="86"/>
      <c r="H5" s="86"/>
      <c r="I5" s="87"/>
      <c r="J5" s="85" t="s">
        <v>6</v>
      </c>
      <c r="K5" s="86"/>
      <c r="L5" s="86"/>
      <c r="M5" s="87"/>
      <c r="N5" s="85" t="s">
        <v>5</v>
      </c>
      <c r="O5" s="86"/>
      <c r="P5" s="86"/>
      <c r="Q5" s="87"/>
      <c r="R5" s="85" t="s">
        <v>177</v>
      </c>
      <c r="S5" s="86"/>
      <c r="T5" s="86"/>
      <c r="U5" s="87"/>
      <c r="V5" s="89"/>
    </row>
    <row r="6" spans="1:24" ht="71.45" customHeight="1">
      <c r="A6" s="78"/>
      <c r="B6" s="81"/>
      <c r="C6" s="78"/>
      <c r="D6" s="78"/>
      <c r="E6" s="84"/>
      <c r="F6" s="24" t="s">
        <v>7</v>
      </c>
      <c r="G6" s="24" t="s">
        <v>8</v>
      </c>
      <c r="H6" s="24" t="s">
        <v>9</v>
      </c>
      <c r="I6" s="24" t="s">
        <v>10</v>
      </c>
      <c r="J6" s="24" t="s">
        <v>7</v>
      </c>
      <c r="K6" s="24" t="s">
        <v>8</v>
      </c>
      <c r="L6" s="24" t="s">
        <v>9</v>
      </c>
      <c r="M6" s="24" t="s">
        <v>10</v>
      </c>
      <c r="N6" s="24" t="s">
        <v>7</v>
      </c>
      <c r="O6" s="24" t="s">
        <v>8</v>
      </c>
      <c r="P6" s="24" t="s">
        <v>9</v>
      </c>
      <c r="Q6" s="24" t="s">
        <v>10</v>
      </c>
      <c r="R6" s="24" t="s">
        <v>7</v>
      </c>
      <c r="S6" s="24" t="s">
        <v>8</v>
      </c>
      <c r="T6" s="24" t="s">
        <v>9</v>
      </c>
      <c r="U6" s="24" t="s">
        <v>10</v>
      </c>
      <c r="V6" s="90"/>
    </row>
    <row r="7" spans="1:24" ht="16.5">
      <c r="A7" s="56" t="s">
        <v>11</v>
      </c>
      <c r="B7" s="13">
        <v>2</v>
      </c>
      <c r="C7" s="5">
        <v>3</v>
      </c>
      <c r="D7" s="5">
        <v>4</v>
      </c>
      <c r="E7" s="5">
        <v>5</v>
      </c>
      <c r="F7" s="24">
        <v>14</v>
      </c>
      <c r="G7" s="24">
        <v>15</v>
      </c>
      <c r="H7" s="24">
        <v>16</v>
      </c>
      <c r="I7" s="24">
        <v>17</v>
      </c>
      <c r="J7" s="24">
        <v>18</v>
      </c>
      <c r="K7" s="24">
        <v>19</v>
      </c>
      <c r="L7" s="24">
        <v>20</v>
      </c>
      <c r="M7" s="24">
        <v>21</v>
      </c>
      <c r="N7" s="24">
        <v>22</v>
      </c>
      <c r="O7" s="24">
        <v>23</v>
      </c>
      <c r="P7" s="24">
        <v>24</v>
      </c>
      <c r="Q7" s="24">
        <v>25</v>
      </c>
      <c r="R7" s="24">
        <v>26</v>
      </c>
      <c r="S7" s="24">
        <v>27</v>
      </c>
      <c r="T7" s="24">
        <v>28</v>
      </c>
      <c r="U7" s="24">
        <v>29</v>
      </c>
      <c r="V7" s="66">
        <v>30</v>
      </c>
    </row>
    <row r="8" spans="1:24" ht="19.5">
      <c r="A8" s="57"/>
      <c r="B8" s="14" t="s">
        <v>12</v>
      </c>
      <c r="C8" s="5"/>
      <c r="D8" s="5"/>
      <c r="E8" s="5"/>
      <c r="F8" s="47">
        <f t="shared" ref="F8:U8" si="0">F9+F48+F74+F118+F137+F146+F165+F178+F197+F217+F227</f>
        <v>13249495.199999999</v>
      </c>
      <c r="G8" s="62">
        <f t="shared" si="0"/>
        <v>5631686.2000000002</v>
      </c>
      <c r="H8" s="62">
        <f t="shared" si="0"/>
        <v>7140642.4000000004</v>
      </c>
      <c r="I8" s="62">
        <f t="shared" si="0"/>
        <v>477166.6</v>
      </c>
      <c r="J8" s="47">
        <f t="shared" si="0"/>
        <v>2279081.1</v>
      </c>
      <c r="K8" s="62">
        <f t="shared" si="0"/>
        <v>1729485.5</v>
      </c>
      <c r="L8" s="62">
        <f t="shared" si="0"/>
        <v>504738.1</v>
      </c>
      <c r="M8" s="62">
        <f t="shared" si="0"/>
        <v>44857.5</v>
      </c>
      <c r="N8" s="47">
        <f t="shared" si="0"/>
        <v>15245091.5</v>
      </c>
      <c r="O8" s="62">
        <f t="shared" si="0"/>
        <v>6609776</v>
      </c>
      <c r="P8" s="62">
        <f t="shared" si="0"/>
        <v>8231132.2000000002</v>
      </c>
      <c r="Q8" s="62">
        <f t="shared" si="0"/>
        <v>404183.3</v>
      </c>
      <c r="R8" s="47">
        <f t="shared" si="0"/>
        <v>10621193.300000001</v>
      </c>
      <c r="S8" s="62">
        <f t="shared" si="0"/>
        <v>6507288.5999999996</v>
      </c>
      <c r="T8" s="62">
        <f t="shared" si="0"/>
        <v>4049726.5</v>
      </c>
      <c r="U8" s="62">
        <f t="shared" si="0"/>
        <v>64178.2</v>
      </c>
      <c r="V8" s="67">
        <f>J8/F8</f>
        <v>0.17199999999999999</v>
      </c>
      <c r="X8" s="23"/>
    </row>
    <row r="9" spans="1:24" ht="18.75">
      <c r="A9" s="58">
        <v>1</v>
      </c>
      <c r="B9" s="21" t="s">
        <v>13</v>
      </c>
      <c r="C9" s="1" t="s">
        <v>14</v>
      </c>
      <c r="D9" s="1" t="s">
        <v>14</v>
      </c>
      <c r="E9" s="1" t="s">
        <v>14</v>
      </c>
      <c r="F9" s="48">
        <f t="shared" ref="F9:U9" si="1">F10+F20+F32+F40+F45</f>
        <v>3273785.7</v>
      </c>
      <c r="G9" s="48">
        <f t="shared" si="1"/>
        <v>1225823.8</v>
      </c>
      <c r="H9" s="48">
        <f t="shared" si="1"/>
        <v>1988460.7</v>
      </c>
      <c r="I9" s="48">
        <f t="shared" si="1"/>
        <v>59501.2</v>
      </c>
      <c r="J9" s="48">
        <f t="shared" si="1"/>
        <v>657842.6</v>
      </c>
      <c r="K9" s="48">
        <f t="shared" si="1"/>
        <v>359877.6</v>
      </c>
      <c r="L9" s="48">
        <f t="shared" si="1"/>
        <v>291408.3</v>
      </c>
      <c r="M9" s="48">
        <f t="shared" si="1"/>
        <v>6556.7</v>
      </c>
      <c r="N9" s="48">
        <f t="shared" si="1"/>
        <v>3838368.2</v>
      </c>
      <c r="O9" s="48">
        <f t="shared" si="1"/>
        <v>1312418.3</v>
      </c>
      <c r="P9" s="48">
        <f t="shared" si="1"/>
        <v>2515510.9</v>
      </c>
      <c r="Q9" s="48">
        <f t="shared" si="1"/>
        <v>10439</v>
      </c>
      <c r="R9" s="48">
        <f t="shared" si="1"/>
        <v>2622687.7000000002</v>
      </c>
      <c r="S9" s="48">
        <f t="shared" si="1"/>
        <v>877483.5</v>
      </c>
      <c r="T9" s="48">
        <f t="shared" si="1"/>
        <v>1736064.8</v>
      </c>
      <c r="U9" s="48">
        <f t="shared" si="1"/>
        <v>9139.4</v>
      </c>
      <c r="V9" s="68">
        <f t="shared" ref="V9:V61" si="2">J9/F9</f>
        <v>0.20100000000000001</v>
      </c>
    </row>
    <row r="10" spans="1:24" ht="33">
      <c r="A10" s="43" t="s">
        <v>15</v>
      </c>
      <c r="B10" s="28" t="s">
        <v>16</v>
      </c>
      <c r="C10" s="29" t="s">
        <v>14</v>
      </c>
      <c r="D10" s="29" t="s">
        <v>14</v>
      </c>
      <c r="E10" s="29" t="s">
        <v>14</v>
      </c>
      <c r="F10" s="49">
        <f t="shared" ref="F10:U10" si="3">SUM(F12:F19)</f>
        <v>267937.8</v>
      </c>
      <c r="G10" s="49">
        <f t="shared" si="3"/>
        <v>43280.1</v>
      </c>
      <c r="H10" s="49">
        <f t="shared" si="3"/>
        <v>224657.7</v>
      </c>
      <c r="I10" s="49">
        <f t="shared" si="3"/>
        <v>0</v>
      </c>
      <c r="J10" s="49">
        <f t="shared" si="3"/>
        <v>45331</v>
      </c>
      <c r="K10" s="49">
        <f t="shared" si="3"/>
        <v>1445.7</v>
      </c>
      <c r="L10" s="49">
        <f t="shared" si="3"/>
        <v>43885.3</v>
      </c>
      <c r="M10" s="49">
        <f t="shared" si="3"/>
        <v>0</v>
      </c>
      <c r="N10" s="49">
        <f t="shared" si="3"/>
        <v>117182.9</v>
      </c>
      <c r="O10" s="49">
        <f t="shared" si="3"/>
        <v>39795.300000000003</v>
      </c>
      <c r="P10" s="49">
        <f t="shared" si="3"/>
        <v>77387.600000000006</v>
      </c>
      <c r="Q10" s="49">
        <f t="shared" si="3"/>
        <v>0</v>
      </c>
      <c r="R10" s="49">
        <f t="shared" si="3"/>
        <v>26749.200000000001</v>
      </c>
      <c r="S10" s="49">
        <f t="shared" si="3"/>
        <v>796.2</v>
      </c>
      <c r="T10" s="49">
        <f t="shared" si="3"/>
        <v>25953</v>
      </c>
      <c r="U10" s="49">
        <f t="shared" si="3"/>
        <v>0</v>
      </c>
      <c r="V10" s="69">
        <f t="shared" si="2"/>
        <v>0.16900000000000001</v>
      </c>
    </row>
    <row r="11" spans="1:24" ht="18.75">
      <c r="A11" s="43"/>
      <c r="B11" s="30" t="s">
        <v>17</v>
      </c>
      <c r="C11" s="31"/>
      <c r="D11" s="31"/>
      <c r="E11" s="31"/>
      <c r="F11" s="49"/>
      <c r="G11" s="53"/>
      <c r="H11" s="53"/>
      <c r="I11" s="53"/>
      <c r="J11" s="49"/>
      <c r="K11" s="53"/>
      <c r="L11" s="53"/>
      <c r="M11" s="53"/>
      <c r="N11" s="49"/>
      <c r="O11" s="53"/>
      <c r="P11" s="53"/>
      <c r="Q11" s="53"/>
      <c r="R11" s="49"/>
      <c r="S11" s="53"/>
      <c r="T11" s="53"/>
      <c r="U11" s="53"/>
      <c r="V11" s="72"/>
    </row>
    <row r="12" spans="1:24" ht="82.5">
      <c r="A12" s="43"/>
      <c r="B12" s="34" t="s">
        <v>20</v>
      </c>
      <c r="C12" s="31">
        <v>811</v>
      </c>
      <c r="D12" s="33" t="s">
        <v>19</v>
      </c>
      <c r="E12" s="31" t="s">
        <v>386</v>
      </c>
      <c r="F12" s="49">
        <f>G12+H12+I12</f>
        <v>212.2</v>
      </c>
      <c r="G12" s="53"/>
      <c r="H12" s="53">
        <v>212.2</v>
      </c>
      <c r="I12" s="53"/>
      <c r="J12" s="49">
        <f>K12+L12+M12</f>
        <v>210.7</v>
      </c>
      <c r="K12" s="53"/>
      <c r="L12" s="53">
        <v>210.7</v>
      </c>
      <c r="M12" s="53"/>
      <c r="N12" s="49">
        <f>O12+P12+Q12</f>
        <v>212</v>
      </c>
      <c r="O12" s="53"/>
      <c r="P12" s="53">
        <v>212</v>
      </c>
      <c r="Q12" s="53"/>
      <c r="R12" s="49">
        <f>S12+T12+U12</f>
        <v>212</v>
      </c>
      <c r="S12" s="53"/>
      <c r="T12" s="53">
        <v>212</v>
      </c>
      <c r="U12" s="53"/>
      <c r="V12" s="72">
        <f t="shared" si="2"/>
        <v>0.99299999999999999</v>
      </c>
    </row>
    <row r="13" spans="1:24" ht="66">
      <c r="A13" s="43"/>
      <c r="B13" s="34" t="s">
        <v>22</v>
      </c>
      <c r="C13" s="31">
        <v>809</v>
      </c>
      <c r="D13" s="33" t="s">
        <v>23</v>
      </c>
      <c r="E13" s="31" t="s">
        <v>395</v>
      </c>
      <c r="F13" s="49">
        <f>G13+H13+I13</f>
        <v>1258.9000000000001</v>
      </c>
      <c r="G13" s="53"/>
      <c r="H13" s="53">
        <v>1258.9000000000001</v>
      </c>
      <c r="I13" s="53"/>
      <c r="J13" s="49">
        <f>K13+L13+M13</f>
        <v>0</v>
      </c>
      <c r="K13" s="53"/>
      <c r="L13" s="53"/>
      <c r="M13" s="53"/>
      <c r="N13" s="49">
        <f>O13+P13+Q13</f>
        <v>0</v>
      </c>
      <c r="O13" s="53"/>
      <c r="P13" s="53"/>
      <c r="Q13" s="53"/>
      <c r="R13" s="49">
        <f>S13+T13+U13</f>
        <v>0</v>
      </c>
      <c r="S13" s="53"/>
      <c r="T13" s="53"/>
      <c r="U13" s="53"/>
      <c r="V13" s="72"/>
    </row>
    <row r="14" spans="1:24" ht="66">
      <c r="A14" s="43"/>
      <c r="B14" s="34" t="s">
        <v>363</v>
      </c>
      <c r="C14" s="31">
        <v>821</v>
      </c>
      <c r="D14" s="33" t="s">
        <v>21</v>
      </c>
      <c r="E14" s="31" t="s">
        <v>362</v>
      </c>
      <c r="F14" s="49">
        <f t="shared" ref="F14:F19" si="4">G14+H14+I14</f>
        <v>8026.5</v>
      </c>
      <c r="G14" s="53">
        <v>8026.5</v>
      </c>
      <c r="H14" s="53"/>
      <c r="I14" s="53"/>
      <c r="J14" s="49">
        <f t="shared" ref="J14:R19" si="5">K14+L14+M14</f>
        <v>0</v>
      </c>
      <c r="K14" s="53"/>
      <c r="L14" s="53"/>
      <c r="M14" s="53"/>
      <c r="N14" s="49">
        <f t="shared" si="5"/>
        <v>0</v>
      </c>
      <c r="O14" s="53"/>
      <c r="P14" s="53"/>
      <c r="Q14" s="53"/>
      <c r="R14" s="49">
        <f t="shared" si="5"/>
        <v>0</v>
      </c>
      <c r="S14" s="53"/>
      <c r="T14" s="53"/>
      <c r="U14" s="53"/>
      <c r="V14" s="72">
        <f t="shared" si="2"/>
        <v>0</v>
      </c>
    </row>
    <row r="15" spans="1:24" ht="82.5">
      <c r="A15" s="43"/>
      <c r="B15" s="34" t="s">
        <v>268</v>
      </c>
      <c r="C15" s="31">
        <v>839</v>
      </c>
      <c r="D15" s="33" t="s">
        <v>18</v>
      </c>
      <c r="E15" s="31" t="s">
        <v>269</v>
      </c>
      <c r="F15" s="49">
        <f t="shared" si="4"/>
        <v>13709.4</v>
      </c>
      <c r="G15" s="53">
        <f>165.7+228.99+15.84+0.76</f>
        <v>411.3</v>
      </c>
      <c r="H15" s="53">
        <f>5356.9+7404.7+512.1+24.44</f>
        <v>13298.1</v>
      </c>
      <c r="I15" s="53"/>
      <c r="J15" s="49">
        <f t="shared" si="5"/>
        <v>476.1</v>
      </c>
      <c r="K15" s="53">
        <f>5+0.2+4.98+4.11</f>
        <v>14.3</v>
      </c>
      <c r="L15" s="53">
        <f>161.5+6.42+161.04+132.83</f>
        <v>461.8</v>
      </c>
      <c r="M15" s="53"/>
      <c r="N15" s="49">
        <f t="shared" si="5"/>
        <v>5522.6</v>
      </c>
      <c r="O15" s="53">
        <v>165.7</v>
      </c>
      <c r="P15" s="53">
        <v>5356.9</v>
      </c>
      <c r="Q15" s="53"/>
      <c r="R15" s="49">
        <f t="shared" si="5"/>
        <v>5522.6</v>
      </c>
      <c r="S15" s="53">
        <v>165.7</v>
      </c>
      <c r="T15" s="53">
        <v>5356.9</v>
      </c>
      <c r="U15" s="53"/>
      <c r="V15" s="72">
        <f t="shared" si="2"/>
        <v>3.5000000000000003E-2</v>
      </c>
    </row>
    <row r="16" spans="1:24" ht="99">
      <c r="A16" s="35"/>
      <c r="B16" s="36" t="s">
        <v>270</v>
      </c>
      <c r="C16" s="37">
        <v>839</v>
      </c>
      <c r="D16" s="38" t="s">
        <v>18</v>
      </c>
      <c r="E16" s="31" t="s">
        <v>271</v>
      </c>
      <c r="F16" s="49">
        <f t="shared" si="4"/>
        <v>4410.2</v>
      </c>
      <c r="G16" s="53">
        <f>142.2+5.24-14.24-0.76</f>
        <v>132.4</v>
      </c>
      <c r="H16" s="53">
        <f>4595.9+166.6-460.31-24.44</f>
        <v>4277.8</v>
      </c>
      <c r="I16" s="53"/>
      <c r="J16" s="49">
        <f t="shared" si="5"/>
        <v>0</v>
      </c>
      <c r="K16" s="53"/>
      <c r="L16" s="53"/>
      <c r="M16" s="53"/>
      <c r="N16" s="49">
        <f t="shared" si="5"/>
        <v>4738.1000000000004</v>
      </c>
      <c r="O16" s="53">
        <v>142.19999999999999</v>
      </c>
      <c r="P16" s="53">
        <v>4595.8999999999996</v>
      </c>
      <c r="Q16" s="53"/>
      <c r="R16" s="49">
        <f t="shared" si="5"/>
        <v>4738.1000000000004</v>
      </c>
      <c r="S16" s="53">
        <v>142.19999999999999</v>
      </c>
      <c r="T16" s="53">
        <v>4595.8999999999996</v>
      </c>
      <c r="U16" s="53"/>
      <c r="V16" s="72">
        <f t="shared" si="2"/>
        <v>0</v>
      </c>
    </row>
    <row r="17" spans="1:22" ht="99">
      <c r="A17" s="35"/>
      <c r="B17" s="36" t="s">
        <v>272</v>
      </c>
      <c r="C17" s="37">
        <v>839</v>
      </c>
      <c r="D17" s="38" t="s">
        <v>18</v>
      </c>
      <c r="E17" s="31" t="s">
        <v>273</v>
      </c>
      <c r="F17" s="49">
        <f t="shared" si="4"/>
        <v>8417.6</v>
      </c>
      <c r="G17" s="53">
        <f>488.3-234.23-1.6</f>
        <v>252.5</v>
      </c>
      <c r="H17" s="53">
        <f>15788.2-7571.26-51.8</f>
        <v>8165.1</v>
      </c>
      <c r="I17" s="53"/>
      <c r="J17" s="49">
        <f t="shared" si="5"/>
        <v>0</v>
      </c>
      <c r="K17" s="53"/>
      <c r="L17" s="53"/>
      <c r="M17" s="53"/>
      <c r="N17" s="49">
        <f t="shared" si="5"/>
        <v>16276.5</v>
      </c>
      <c r="O17" s="53">
        <v>488.3</v>
      </c>
      <c r="P17" s="53">
        <v>15788.2</v>
      </c>
      <c r="Q17" s="53"/>
      <c r="R17" s="49">
        <f t="shared" si="5"/>
        <v>16276.5</v>
      </c>
      <c r="S17" s="53">
        <v>488.3</v>
      </c>
      <c r="T17" s="53">
        <v>15788.2</v>
      </c>
      <c r="U17" s="53"/>
      <c r="V17" s="72">
        <f t="shared" si="2"/>
        <v>0</v>
      </c>
    </row>
    <row r="18" spans="1:22" ht="82.5">
      <c r="A18" s="43"/>
      <c r="B18" s="34" t="s">
        <v>20</v>
      </c>
      <c r="C18" s="31">
        <v>811</v>
      </c>
      <c r="D18" s="33" t="s">
        <v>19</v>
      </c>
      <c r="E18" s="31" t="s">
        <v>228</v>
      </c>
      <c r="F18" s="49">
        <f t="shared" si="4"/>
        <v>0</v>
      </c>
      <c r="G18" s="53"/>
      <c r="H18" s="53">
        <f>212.2-212.2</f>
        <v>0</v>
      </c>
      <c r="I18" s="53"/>
      <c r="J18" s="49">
        <f t="shared" si="5"/>
        <v>0</v>
      </c>
      <c r="K18" s="53"/>
      <c r="L18" s="53"/>
      <c r="M18" s="53"/>
      <c r="N18" s="49">
        <f t="shared" si="5"/>
        <v>0</v>
      </c>
      <c r="O18" s="53"/>
      <c r="P18" s="53">
        <f>212.2-212.2</f>
        <v>0</v>
      </c>
      <c r="Q18" s="53"/>
      <c r="R18" s="49">
        <f t="shared" si="5"/>
        <v>0</v>
      </c>
      <c r="S18" s="53"/>
      <c r="T18" s="53">
        <f>212.2-212.2</f>
        <v>0</v>
      </c>
      <c r="U18" s="53"/>
      <c r="V18" s="72"/>
    </row>
    <row r="19" spans="1:22" ht="198">
      <c r="A19" s="43"/>
      <c r="B19" s="34" t="s">
        <v>385</v>
      </c>
      <c r="C19" s="31">
        <v>821</v>
      </c>
      <c r="D19" s="33" t="s">
        <v>21</v>
      </c>
      <c r="E19" s="31" t="s">
        <v>267</v>
      </c>
      <c r="F19" s="49">
        <f t="shared" si="4"/>
        <v>231903</v>
      </c>
      <c r="G19" s="53">
        <v>34457.4</v>
      </c>
      <c r="H19" s="53">
        <v>197445.6</v>
      </c>
      <c r="I19" s="53"/>
      <c r="J19" s="49">
        <f t="shared" si="5"/>
        <v>44644.2</v>
      </c>
      <c r="K19" s="53">
        <f>422.8+913.74+94.88</f>
        <v>1431.4</v>
      </c>
      <c r="L19" s="53">
        <f>13668.7+29544.14</f>
        <v>43212.800000000003</v>
      </c>
      <c r="M19" s="53"/>
      <c r="N19" s="49">
        <f t="shared" si="5"/>
        <v>90433.7</v>
      </c>
      <c r="O19" s="53">
        <v>38999.1</v>
      </c>
      <c r="P19" s="53">
        <v>51434.6</v>
      </c>
      <c r="Q19" s="53"/>
      <c r="R19" s="49">
        <f t="shared" si="5"/>
        <v>0</v>
      </c>
      <c r="S19" s="53"/>
      <c r="T19" s="53"/>
      <c r="U19" s="53"/>
      <c r="V19" s="72">
        <f t="shared" si="2"/>
        <v>0.193</v>
      </c>
    </row>
    <row r="20" spans="1:22" ht="33">
      <c r="A20" s="56" t="s">
        <v>24</v>
      </c>
      <c r="B20" s="15" t="s">
        <v>25</v>
      </c>
      <c r="C20" s="6" t="s">
        <v>14</v>
      </c>
      <c r="D20" s="6" t="s">
        <v>14</v>
      </c>
      <c r="E20" s="6" t="s">
        <v>14</v>
      </c>
      <c r="F20" s="51">
        <f>SUM(F22:F31)</f>
        <v>263844.5</v>
      </c>
      <c r="G20" s="49">
        <f>SUM(G22:G31)</f>
        <v>154853.6</v>
      </c>
      <c r="H20" s="49">
        <f t="shared" ref="H20" si="6">SUM(H22:H31)</f>
        <v>63690.9</v>
      </c>
      <c r="I20" s="49">
        <f t="shared" ref="I20:U20" si="7">SUM(I22:I31)</f>
        <v>45300</v>
      </c>
      <c r="J20" s="51">
        <f t="shared" si="7"/>
        <v>67356.5</v>
      </c>
      <c r="K20" s="49">
        <f t="shared" si="7"/>
        <v>60816</v>
      </c>
      <c r="L20" s="49">
        <f t="shared" si="7"/>
        <v>0</v>
      </c>
      <c r="M20" s="49">
        <f t="shared" si="7"/>
        <v>6540.5</v>
      </c>
      <c r="N20" s="51">
        <f t="shared" si="7"/>
        <v>376309.5</v>
      </c>
      <c r="O20" s="49">
        <f t="shared" si="7"/>
        <v>135664.4</v>
      </c>
      <c r="P20" s="49">
        <f t="shared" si="7"/>
        <v>230206.1</v>
      </c>
      <c r="Q20" s="49">
        <f t="shared" si="7"/>
        <v>10439</v>
      </c>
      <c r="R20" s="51">
        <f t="shared" si="7"/>
        <v>188173.6</v>
      </c>
      <c r="S20" s="49">
        <f t="shared" si="7"/>
        <v>96104.7</v>
      </c>
      <c r="T20" s="49">
        <f t="shared" si="7"/>
        <v>82929.5</v>
      </c>
      <c r="U20" s="49">
        <f t="shared" si="7"/>
        <v>9139.4</v>
      </c>
      <c r="V20" s="69">
        <f t="shared" si="2"/>
        <v>0.255</v>
      </c>
    </row>
    <row r="21" spans="1:22" ht="18.75">
      <c r="A21" s="59"/>
      <c r="B21" s="30" t="s">
        <v>17</v>
      </c>
      <c r="C21" s="31"/>
      <c r="D21" s="31"/>
      <c r="E21" s="31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69"/>
    </row>
    <row r="22" spans="1:22" ht="82.5">
      <c r="A22" s="59"/>
      <c r="B22" s="34" t="s">
        <v>26</v>
      </c>
      <c r="C22" s="31">
        <v>813</v>
      </c>
      <c r="D22" s="33" t="s">
        <v>27</v>
      </c>
      <c r="E22" s="31" t="s">
        <v>237</v>
      </c>
      <c r="F22" s="49">
        <f t="shared" ref="F22:F31" si="8">G22+H22+I22</f>
        <v>36808</v>
      </c>
      <c r="G22" s="53">
        <f>321.1+773.2</f>
        <v>1094.3</v>
      </c>
      <c r="H22" s="53">
        <f>10381.9+25000</f>
        <v>35381.9</v>
      </c>
      <c r="I22" s="53">
        <v>331.8</v>
      </c>
      <c r="J22" s="49">
        <f t="shared" ref="J22:J31" si="9">K22+L22+M22</f>
        <v>0</v>
      </c>
      <c r="K22" s="53"/>
      <c r="L22" s="53"/>
      <c r="M22" s="53"/>
      <c r="N22" s="49">
        <f t="shared" ref="N22:N31" si="10">O22+P22+Q22</f>
        <v>6889.4</v>
      </c>
      <c r="O22" s="53">
        <v>206.7</v>
      </c>
      <c r="P22" s="53">
        <v>6682.7</v>
      </c>
      <c r="Q22" s="53">
        <v>0</v>
      </c>
      <c r="R22" s="49">
        <f t="shared" ref="R22:R31" si="11">S22+T22+U22</f>
        <v>6889.4</v>
      </c>
      <c r="S22" s="53">
        <v>206.7</v>
      </c>
      <c r="T22" s="53">
        <v>6682.7</v>
      </c>
      <c r="U22" s="53"/>
      <c r="V22" s="72">
        <f t="shared" si="2"/>
        <v>0</v>
      </c>
    </row>
    <row r="23" spans="1:22" ht="66">
      <c r="A23" s="59"/>
      <c r="B23" s="34" t="s">
        <v>167</v>
      </c>
      <c r="C23" s="31">
        <v>821</v>
      </c>
      <c r="D23" s="33" t="s">
        <v>21</v>
      </c>
      <c r="E23" s="31" t="s">
        <v>360</v>
      </c>
      <c r="F23" s="49">
        <f t="shared" si="8"/>
        <v>53571.5</v>
      </c>
      <c r="G23" s="53">
        <f>100000-65000</f>
        <v>35000</v>
      </c>
      <c r="H23" s="53"/>
      <c r="I23" s="53">
        <v>18571.5</v>
      </c>
      <c r="J23" s="49">
        <f t="shared" si="9"/>
        <v>0</v>
      </c>
      <c r="K23" s="53"/>
      <c r="L23" s="53"/>
      <c r="M23" s="53"/>
      <c r="N23" s="49">
        <f t="shared" si="10"/>
        <v>35000</v>
      </c>
      <c r="O23" s="53">
        <v>35000</v>
      </c>
      <c r="P23" s="53"/>
      <c r="Q23" s="53"/>
      <c r="R23" s="49">
        <f t="shared" si="11"/>
        <v>0</v>
      </c>
      <c r="S23" s="53"/>
      <c r="T23" s="53"/>
      <c r="U23" s="53"/>
      <c r="V23" s="72">
        <f t="shared" si="2"/>
        <v>0</v>
      </c>
    </row>
    <row r="24" spans="1:22" ht="82.5">
      <c r="A24" s="59"/>
      <c r="B24" s="34" t="s">
        <v>323</v>
      </c>
      <c r="C24" s="31">
        <v>813</v>
      </c>
      <c r="D24" s="33" t="s">
        <v>27</v>
      </c>
      <c r="E24" s="31" t="s">
        <v>322</v>
      </c>
      <c r="F24" s="49">
        <f t="shared" si="8"/>
        <v>31579</v>
      </c>
      <c r="G24" s="53">
        <v>30000</v>
      </c>
      <c r="H24" s="53"/>
      <c r="I24" s="53">
        <v>1579</v>
      </c>
      <c r="J24" s="49">
        <f t="shared" si="9"/>
        <v>30575.4</v>
      </c>
      <c r="K24" s="53">
        <f>404.6+10593.6+1159.2+17842.6</f>
        <v>30000</v>
      </c>
      <c r="L24" s="53"/>
      <c r="M24" s="53">
        <v>575.4</v>
      </c>
      <c r="N24" s="49">
        <f t="shared" si="10"/>
        <v>10506</v>
      </c>
      <c r="O24" s="53">
        <v>10000</v>
      </c>
      <c r="P24" s="53"/>
      <c r="Q24" s="53">
        <v>506</v>
      </c>
      <c r="R24" s="49">
        <f t="shared" si="11"/>
        <v>10498.9</v>
      </c>
      <c r="S24" s="53">
        <v>10000</v>
      </c>
      <c r="T24" s="53"/>
      <c r="U24" s="53">
        <v>498.9</v>
      </c>
      <c r="V24" s="72">
        <f t="shared" si="2"/>
        <v>0.96799999999999997</v>
      </c>
    </row>
    <row r="25" spans="1:22" ht="82.5">
      <c r="A25" s="59"/>
      <c r="B25" s="34" t="s">
        <v>329</v>
      </c>
      <c r="C25" s="31">
        <v>813</v>
      </c>
      <c r="D25" s="33" t="s">
        <v>27</v>
      </c>
      <c r="E25" s="31" t="s">
        <v>328</v>
      </c>
      <c r="F25" s="49">
        <f t="shared" si="8"/>
        <v>0</v>
      </c>
      <c r="G25" s="53">
        <f>30000-30000</f>
        <v>0</v>
      </c>
      <c r="H25" s="53"/>
      <c r="I25" s="53"/>
      <c r="J25" s="49">
        <f t="shared" si="9"/>
        <v>0</v>
      </c>
      <c r="K25" s="53"/>
      <c r="L25" s="53"/>
      <c r="M25" s="53"/>
      <c r="N25" s="49">
        <f t="shared" si="10"/>
        <v>0</v>
      </c>
      <c r="O25" s="53"/>
      <c r="P25" s="53"/>
      <c r="Q25" s="53"/>
      <c r="R25" s="49">
        <f t="shared" si="11"/>
        <v>0</v>
      </c>
      <c r="S25" s="53"/>
      <c r="T25" s="53"/>
      <c r="U25" s="53"/>
      <c r="V25" s="72" t="e">
        <f t="shared" si="2"/>
        <v>#DIV/0!</v>
      </c>
    </row>
    <row r="26" spans="1:22" ht="165">
      <c r="A26" s="59"/>
      <c r="B26" s="34" t="s">
        <v>28</v>
      </c>
      <c r="C26" s="31">
        <v>813</v>
      </c>
      <c r="D26" s="33" t="s">
        <v>27</v>
      </c>
      <c r="E26" s="31" t="s">
        <v>327</v>
      </c>
      <c r="F26" s="49">
        <f t="shared" si="8"/>
        <v>10118.799999999999</v>
      </c>
      <c r="G26" s="53">
        <v>9000</v>
      </c>
      <c r="H26" s="53"/>
      <c r="I26" s="53">
        <v>1118.8</v>
      </c>
      <c r="J26" s="49">
        <f t="shared" si="9"/>
        <v>3729</v>
      </c>
      <c r="K26" s="53">
        <f>600+1800+900+300</f>
        <v>3600</v>
      </c>
      <c r="L26" s="53"/>
      <c r="M26" s="53">
        <v>129</v>
      </c>
      <c r="N26" s="49">
        <f t="shared" si="10"/>
        <v>9363.7000000000007</v>
      </c>
      <c r="O26" s="53">
        <v>9000</v>
      </c>
      <c r="P26" s="53"/>
      <c r="Q26" s="53">
        <v>363.7</v>
      </c>
      <c r="R26" s="49">
        <f t="shared" si="11"/>
        <v>9268.7000000000007</v>
      </c>
      <c r="S26" s="53">
        <v>9000</v>
      </c>
      <c r="T26" s="53"/>
      <c r="U26" s="53">
        <v>268.7</v>
      </c>
      <c r="V26" s="72">
        <f t="shared" si="2"/>
        <v>0.36899999999999999</v>
      </c>
    </row>
    <row r="27" spans="1:22" ht="82.5">
      <c r="A27" s="59"/>
      <c r="B27" s="34" t="s">
        <v>29</v>
      </c>
      <c r="C27" s="31">
        <v>813</v>
      </c>
      <c r="D27" s="33" t="s">
        <v>27</v>
      </c>
      <c r="E27" s="31" t="s">
        <v>324</v>
      </c>
      <c r="F27" s="49">
        <f t="shared" si="8"/>
        <v>83365.7</v>
      </c>
      <c r="G27" s="53">
        <v>71646.899999999994</v>
      </c>
      <c r="H27" s="53"/>
      <c r="I27" s="53">
        <v>11718.8</v>
      </c>
      <c r="J27" s="49">
        <f t="shared" si="9"/>
        <v>33052.1</v>
      </c>
      <c r="K27" s="53">
        <f>14605.3+1982.9+10482.8+145</f>
        <v>27216</v>
      </c>
      <c r="L27" s="53"/>
      <c r="M27" s="53">
        <v>5836.1</v>
      </c>
      <c r="N27" s="49">
        <f t="shared" si="10"/>
        <v>81057.7</v>
      </c>
      <c r="O27" s="53">
        <v>71646.899999999994</v>
      </c>
      <c r="P27" s="53"/>
      <c r="Q27" s="53">
        <v>9410.7999999999993</v>
      </c>
      <c r="R27" s="49">
        <f t="shared" si="11"/>
        <v>79864</v>
      </c>
      <c r="S27" s="53">
        <v>71646.899999999994</v>
      </c>
      <c r="T27" s="53"/>
      <c r="U27" s="53">
        <v>8217.1</v>
      </c>
      <c r="V27" s="72">
        <f t="shared" si="2"/>
        <v>0.39600000000000002</v>
      </c>
    </row>
    <row r="28" spans="1:22" ht="82.5">
      <c r="A28" s="59"/>
      <c r="B28" s="34" t="s">
        <v>326</v>
      </c>
      <c r="C28" s="31">
        <v>813</v>
      </c>
      <c r="D28" s="33" t="s">
        <v>27</v>
      </c>
      <c r="E28" s="31" t="s">
        <v>325</v>
      </c>
      <c r="F28" s="49">
        <f t="shared" si="8"/>
        <v>9967.7000000000007</v>
      </c>
      <c r="G28" s="53">
        <f>38000-38000</f>
        <v>0</v>
      </c>
      <c r="H28" s="53"/>
      <c r="I28" s="53">
        <v>9967.7000000000007</v>
      </c>
      <c r="J28" s="49">
        <f t="shared" si="9"/>
        <v>0</v>
      </c>
      <c r="K28" s="53"/>
      <c r="L28" s="53"/>
      <c r="M28" s="53"/>
      <c r="N28" s="49">
        <f t="shared" si="10"/>
        <v>0</v>
      </c>
      <c r="O28" s="53"/>
      <c r="P28" s="53"/>
      <c r="Q28" s="53"/>
      <c r="R28" s="49">
        <f t="shared" si="11"/>
        <v>0</v>
      </c>
      <c r="S28" s="53"/>
      <c r="T28" s="53"/>
      <c r="U28" s="53"/>
      <c r="V28" s="72">
        <f t="shared" si="2"/>
        <v>0</v>
      </c>
    </row>
    <row r="29" spans="1:22" ht="82.5" customHeight="1">
      <c r="A29" s="59"/>
      <c r="B29" s="34" t="s">
        <v>233</v>
      </c>
      <c r="C29" s="31">
        <v>813</v>
      </c>
      <c r="D29" s="33" t="s">
        <v>27</v>
      </c>
      <c r="E29" s="31" t="s">
        <v>234</v>
      </c>
      <c r="F29" s="49">
        <f t="shared" si="8"/>
        <v>6487.2</v>
      </c>
      <c r="G29" s="53">
        <v>3000</v>
      </c>
      <c r="H29" s="53">
        <v>3309</v>
      </c>
      <c r="I29" s="53">
        <v>178.2</v>
      </c>
      <c r="J29" s="49">
        <f t="shared" si="9"/>
        <v>0</v>
      </c>
      <c r="K29" s="53"/>
      <c r="L29" s="53"/>
      <c r="M29" s="53"/>
      <c r="N29" s="49">
        <f t="shared" si="10"/>
        <v>6467.5</v>
      </c>
      <c r="O29" s="53">
        <v>3000</v>
      </c>
      <c r="P29" s="53">
        <v>3309</v>
      </c>
      <c r="Q29" s="53">
        <v>158.5</v>
      </c>
      <c r="R29" s="49">
        <f t="shared" si="11"/>
        <v>6615.9</v>
      </c>
      <c r="S29" s="53">
        <v>3000</v>
      </c>
      <c r="T29" s="53">
        <v>3461.2</v>
      </c>
      <c r="U29" s="53">
        <v>154.69999999999999</v>
      </c>
      <c r="V29" s="72">
        <f t="shared" si="2"/>
        <v>0</v>
      </c>
    </row>
    <row r="30" spans="1:22" ht="82.5">
      <c r="A30" s="59"/>
      <c r="B30" s="34" t="s">
        <v>235</v>
      </c>
      <c r="C30" s="31">
        <v>821</v>
      </c>
      <c r="D30" s="33" t="s">
        <v>21</v>
      </c>
      <c r="E30" s="31" t="s">
        <v>236</v>
      </c>
      <c r="F30" s="49">
        <f t="shared" si="8"/>
        <v>5376.3</v>
      </c>
      <c r="G30" s="53">
        <v>4339.2</v>
      </c>
      <c r="H30" s="53"/>
      <c r="I30" s="53">
        <v>1037.0999999999999</v>
      </c>
      <c r="J30" s="49">
        <f t="shared" si="9"/>
        <v>0</v>
      </c>
      <c r="K30" s="53"/>
      <c r="L30" s="53"/>
      <c r="M30" s="53"/>
      <c r="N30" s="49">
        <f t="shared" si="10"/>
        <v>182695.3</v>
      </c>
      <c r="O30" s="53">
        <v>5480.9</v>
      </c>
      <c r="P30" s="53">
        <v>177214.4</v>
      </c>
      <c r="Q30" s="53"/>
      <c r="R30" s="49">
        <f t="shared" si="11"/>
        <v>75036.7</v>
      </c>
      <c r="S30" s="53">
        <v>2251.1</v>
      </c>
      <c r="T30" s="53">
        <v>72785.600000000006</v>
      </c>
      <c r="U30" s="53"/>
      <c r="V30" s="72">
        <f t="shared" si="2"/>
        <v>0</v>
      </c>
    </row>
    <row r="31" spans="1:22" ht="82.5">
      <c r="A31" s="59"/>
      <c r="B31" s="34" t="s">
        <v>238</v>
      </c>
      <c r="C31" s="31">
        <v>813</v>
      </c>
      <c r="D31" s="33" t="s">
        <v>27</v>
      </c>
      <c r="E31" s="31" t="s">
        <v>239</v>
      </c>
      <c r="F31" s="49">
        <f t="shared" si="8"/>
        <v>26570.3</v>
      </c>
      <c r="G31" s="53">
        <v>773.2</v>
      </c>
      <c r="H31" s="53">
        <v>25000</v>
      </c>
      <c r="I31" s="53">
        <v>797.1</v>
      </c>
      <c r="J31" s="49">
        <f t="shared" si="9"/>
        <v>0</v>
      </c>
      <c r="K31" s="53"/>
      <c r="L31" s="53"/>
      <c r="M31" s="53"/>
      <c r="N31" s="49">
        <f t="shared" si="10"/>
        <v>44329.9</v>
      </c>
      <c r="O31" s="53">
        <v>1329.9</v>
      </c>
      <c r="P31" s="53">
        <v>43000</v>
      </c>
      <c r="Q31" s="53"/>
      <c r="R31" s="49">
        <f t="shared" si="11"/>
        <v>0</v>
      </c>
      <c r="S31" s="53"/>
      <c r="T31" s="53"/>
      <c r="U31" s="53"/>
      <c r="V31" s="72">
        <f t="shared" si="2"/>
        <v>0</v>
      </c>
    </row>
    <row r="32" spans="1:22" ht="66">
      <c r="A32" s="56" t="s">
        <v>30</v>
      </c>
      <c r="B32" s="15" t="s">
        <v>31</v>
      </c>
      <c r="C32" s="6" t="s">
        <v>14</v>
      </c>
      <c r="D32" s="6" t="s">
        <v>14</v>
      </c>
      <c r="E32" s="6" t="s">
        <v>14</v>
      </c>
      <c r="F32" s="51">
        <f t="shared" ref="F32:U32" si="12">SUM(F34:F39)</f>
        <v>1059994.7</v>
      </c>
      <c r="G32" s="49">
        <f t="shared" si="12"/>
        <v>387823.3</v>
      </c>
      <c r="H32" s="49">
        <f t="shared" si="12"/>
        <v>657970.19999999995</v>
      </c>
      <c r="I32" s="49">
        <f t="shared" si="12"/>
        <v>14201.2</v>
      </c>
      <c r="J32" s="51">
        <f t="shared" si="12"/>
        <v>49761.3</v>
      </c>
      <c r="K32" s="49">
        <f t="shared" si="12"/>
        <v>49483.9</v>
      </c>
      <c r="L32" s="49">
        <f t="shared" si="12"/>
        <v>261.2</v>
      </c>
      <c r="M32" s="49">
        <f t="shared" si="12"/>
        <v>16.2</v>
      </c>
      <c r="N32" s="51">
        <f t="shared" si="12"/>
        <v>1247859.3999999999</v>
      </c>
      <c r="O32" s="49">
        <f t="shared" si="12"/>
        <v>357091.8</v>
      </c>
      <c r="P32" s="49">
        <f t="shared" si="12"/>
        <v>890767.6</v>
      </c>
      <c r="Q32" s="49">
        <f t="shared" si="12"/>
        <v>0</v>
      </c>
      <c r="R32" s="51">
        <f t="shared" si="12"/>
        <v>23861.3</v>
      </c>
      <c r="S32" s="49">
        <f t="shared" si="12"/>
        <v>715.8</v>
      </c>
      <c r="T32" s="49">
        <f t="shared" si="12"/>
        <v>23145.5</v>
      </c>
      <c r="U32" s="49">
        <f t="shared" si="12"/>
        <v>0</v>
      </c>
      <c r="V32" s="69">
        <f t="shared" si="2"/>
        <v>4.7E-2</v>
      </c>
    </row>
    <row r="33" spans="1:22" ht="18.75">
      <c r="A33" s="43"/>
      <c r="B33" s="30" t="s">
        <v>17</v>
      </c>
      <c r="C33" s="31"/>
      <c r="D33" s="31"/>
      <c r="E33" s="31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69"/>
    </row>
    <row r="34" spans="1:22" ht="198">
      <c r="A34" s="43"/>
      <c r="B34" s="34" t="s">
        <v>255</v>
      </c>
      <c r="C34" s="31">
        <v>815</v>
      </c>
      <c r="D34" s="33" t="s">
        <v>67</v>
      </c>
      <c r="E34" s="31" t="s">
        <v>256</v>
      </c>
      <c r="F34" s="49">
        <f t="shared" ref="F34:R39" si="13">G34+H34+I34</f>
        <v>182952.6</v>
      </c>
      <c r="G34" s="53">
        <v>5591.4</v>
      </c>
      <c r="H34" s="53">
        <v>177361.2</v>
      </c>
      <c r="I34" s="53"/>
      <c r="J34" s="49">
        <f t="shared" si="13"/>
        <v>0</v>
      </c>
      <c r="K34" s="53"/>
      <c r="L34" s="53"/>
      <c r="M34" s="53"/>
      <c r="N34" s="49">
        <f t="shared" si="13"/>
        <v>0</v>
      </c>
      <c r="O34" s="53"/>
      <c r="P34" s="53"/>
      <c r="Q34" s="53"/>
      <c r="R34" s="49">
        <f t="shared" si="13"/>
        <v>0</v>
      </c>
      <c r="S34" s="53"/>
      <c r="T34" s="53"/>
      <c r="U34" s="53"/>
      <c r="V34" s="72">
        <f t="shared" si="2"/>
        <v>0</v>
      </c>
    </row>
    <row r="35" spans="1:22" ht="99">
      <c r="A35" s="43"/>
      <c r="B35" s="34" t="s">
        <v>32</v>
      </c>
      <c r="C35" s="31">
        <v>821</v>
      </c>
      <c r="D35" s="33" t="s">
        <v>21</v>
      </c>
      <c r="E35" s="31" t="s">
        <v>254</v>
      </c>
      <c r="F35" s="49">
        <f t="shared" si="13"/>
        <v>802533.9</v>
      </c>
      <c r="G35" s="53">
        <v>339568.5</v>
      </c>
      <c r="H35" s="53">
        <f>274034.6+188767.1</f>
        <v>462801.7</v>
      </c>
      <c r="I35" s="53">
        <v>163.69999999999999</v>
      </c>
      <c r="J35" s="49">
        <f t="shared" si="13"/>
        <v>49492</v>
      </c>
      <c r="K35" s="53">
        <f>34830.5+14645.33</f>
        <v>49475.8</v>
      </c>
      <c r="L35" s="53"/>
      <c r="M35" s="53">
        <v>16.2</v>
      </c>
      <c r="N35" s="49">
        <f t="shared" si="13"/>
        <v>1229501.3</v>
      </c>
      <c r="O35" s="53">
        <v>356541</v>
      </c>
      <c r="P35" s="53">
        <v>872960.3</v>
      </c>
      <c r="Q35" s="53"/>
      <c r="R35" s="49">
        <f t="shared" si="13"/>
        <v>0</v>
      </c>
      <c r="S35" s="53"/>
      <c r="T35" s="53"/>
      <c r="U35" s="53"/>
      <c r="V35" s="72">
        <f t="shared" si="2"/>
        <v>6.2E-2</v>
      </c>
    </row>
    <row r="36" spans="1:22" ht="115.5">
      <c r="A36" s="43"/>
      <c r="B36" s="34" t="s">
        <v>201</v>
      </c>
      <c r="C36" s="31">
        <v>839</v>
      </c>
      <c r="D36" s="33" t="s">
        <v>18</v>
      </c>
      <c r="E36" s="31" t="s">
        <v>200</v>
      </c>
      <c r="F36" s="49">
        <f t="shared" si="13"/>
        <v>12066.5</v>
      </c>
      <c r="G36" s="53">
        <f>362</f>
        <v>362</v>
      </c>
      <c r="H36" s="53">
        <f>2801.4+8903.14</f>
        <v>11704.5</v>
      </c>
      <c r="I36" s="53"/>
      <c r="J36" s="49">
        <f t="shared" si="13"/>
        <v>269.3</v>
      </c>
      <c r="K36" s="53">
        <f>3.5+0.14+4.43</f>
        <v>8.1</v>
      </c>
      <c r="L36" s="53">
        <f>113.6+4.41+143.16</f>
        <v>261.2</v>
      </c>
      <c r="M36" s="53"/>
      <c r="N36" s="49">
        <f t="shared" si="13"/>
        <v>2888</v>
      </c>
      <c r="O36" s="53">
        <v>86.6</v>
      </c>
      <c r="P36" s="53">
        <v>2801.4</v>
      </c>
      <c r="Q36" s="53"/>
      <c r="R36" s="49">
        <f t="shared" si="13"/>
        <v>7511.5</v>
      </c>
      <c r="S36" s="53">
        <v>225.4</v>
      </c>
      <c r="T36" s="53">
        <v>7286.1</v>
      </c>
      <c r="U36" s="53"/>
      <c r="V36" s="72">
        <f t="shared" si="2"/>
        <v>2.1999999999999999E-2</v>
      </c>
    </row>
    <row r="37" spans="1:22" ht="66">
      <c r="A37" s="43"/>
      <c r="B37" s="34" t="s">
        <v>364</v>
      </c>
      <c r="C37" s="31">
        <v>821</v>
      </c>
      <c r="D37" s="33" t="s">
        <v>21</v>
      </c>
      <c r="E37" s="31" t="s">
        <v>365</v>
      </c>
      <c r="F37" s="49">
        <f t="shared" si="13"/>
        <v>56150.1</v>
      </c>
      <c r="G37" s="53">
        <v>42112.6</v>
      </c>
      <c r="H37" s="53"/>
      <c r="I37" s="53">
        <v>14037.5</v>
      </c>
      <c r="J37" s="49">
        <f t="shared" si="13"/>
        <v>0</v>
      </c>
      <c r="K37" s="53"/>
      <c r="L37" s="53"/>
      <c r="M37" s="53"/>
      <c r="N37" s="49">
        <f t="shared" si="13"/>
        <v>0</v>
      </c>
      <c r="O37" s="53"/>
      <c r="P37" s="53"/>
      <c r="Q37" s="53"/>
      <c r="R37" s="49">
        <f t="shared" si="13"/>
        <v>0</v>
      </c>
      <c r="S37" s="53"/>
      <c r="T37" s="53"/>
      <c r="U37" s="53"/>
      <c r="V37" s="72">
        <f t="shared" si="2"/>
        <v>0</v>
      </c>
    </row>
    <row r="38" spans="1:22" ht="99">
      <c r="A38" s="43"/>
      <c r="B38" s="34" t="s">
        <v>203</v>
      </c>
      <c r="C38" s="31">
        <v>839</v>
      </c>
      <c r="D38" s="33" t="s">
        <v>18</v>
      </c>
      <c r="E38" s="31" t="s">
        <v>202</v>
      </c>
      <c r="F38" s="49">
        <f t="shared" si="13"/>
        <v>2124.6</v>
      </c>
      <c r="G38" s="53">
        <f>83.4-19.61</f>
        <v>63.8</v>
      </c>
      <c r="H38" s="53">
        <f>2694.7-633.93</f>
        <v>2060.8000000000002</v>
      </c>
      <c r="I38" s="53"/>
      <c r="J38" s="49">
        <f t="shared" si="13"/>
        <v>0</v>
      </c>
      <c r="K38" s="53"/>
      <c r="L38" s="53"/>
      <c r="M38" s="53"/>
      <c r="N38" s="49">
        <f t="shared" si="13"/>
        <v>2778.1</v>
      </c>
      <c r="O38" s="53">
        <v>83.4</v>
      </c>
      <c r="P38" s="53">
        <v>2694.7</v>
      </c>
      <c r="Q38" s="53"/>
      <c r="R38" s="49">
        <f t="shared" si="13"/>
        <v>3652.2</v>
      </c>
      <c r="S38" s="53">
        <v>109.5</v>
      </c>
      <c r="T38" s="53">
        <v>3542.7</v>
      </c>
      <c r="U38" s="53"/>
      <c r="V38" s="72">
        <f t="shared" si="2"/>
        <v>0</v>
      </c>
    </row>
    <row r="39" spans="1:22" ht="165">
      <c r="A39" s="43"/>
      <c r="B39" s="34" t="s">
        <v>205</v>
      </c>
      <c r="C39" s="31">
        <v>839</v>
      </c>
      <c r="D39" s="33" t="s">
        <v>18</v>
      </c>
      <c r="E39" s="31" t="s">
        <v>204</v>
      </c>
      <c r="F39" s="49">
        <f t="shared" si="13"/>
        <v>4167</v>
      </c>
      <c r="G39" s="53">
        <f>380.8-255.79</f>
        <v>125</v>
      </c>
      <c r="H39" s="53">
        <f>12311.2-8269.21</f>
        <v>4042</v>
      </c>
      <c r="I39" s="53"/>
      <c r="J39" s="49">
        <f t="shared" si="13"/>
        <v>0</v>
      </c>
      <c r="K39" s="53"/>
      <c r="L39" s="53"/>
      <c r="M39" s="53"/>
      <c r="N39" s="49">
        <f t="shared" si="13"/>
        <v>12692</v>
      </c>
      <c r="O39" s="53">
        <v>380.8</v>
      </c>
      <c r="P39" s="53">
        <v>12311.2</v>
      </c>
      <c r="Q39" s="53"/>
      <c r="R39" s="49">
        <f t="shared" si="13"/>
        <v>12697.6</v>
      </c>
      <c r="S39" s="53">
        <v>380.9</v>
      </c>
      <c r="T39" s="53">
        <v>12316.7</v>
      </c>
      <c r="U39" s="53"/>
      <c r="V39" s="72">
        <f t="shared" si="2"/>
        <v>0</v>
      </c>
    </row>
    <row r="40" spans="1:22" ht="49.5">
      <c r="A40" s="56" t="s">
        <v>33</v>
      </c>
      <c r="B40" s="15" t="s">
        <v>34</v>
      </c>
      <c r="C40" s="6" t="s">
        <v>14</v>
      </c>
      <c r="D40" s="6" t="s">
        <v>14</v>
      </c>
      <c r="E40" s="6" t="s">
        <v>14</v>
      </c>
      <c r="F40" s="51">
        <f t="shared" ref="F40:U40" si="14">SUM(F42:F44)</f>
        <v>1678308.7</v>
      </c>
      <c r="G40" s="49">
        <f t="shared" si="14"/>
        <v>636166.80000000005</v>
      </c>
      <c r="H40" s="49">
        <f t="shared" ref="H40" si="15">SUM(H42:H44)</f>
        <v>1042141.9</v>
      </c>
      <c r="I40" s="49">
        <f t="shared" si="14"/>
        <v>0</v>
      </c>
      <c r="J40" s="51">
        <f t="shared" si="14"/>
        <v>493893.8</v>
      </c>
      <c r="K40" s="49">
        <f t="shared" si="14"/>
        <v>246632</v>
      </c>
      <c r="L40" s="49">
        <f t="shared" si="14"/>
        <v>247261.8</v>
      </c>
      <c r="M40" s="49">
        <f t="shared" si="14"/>
        <v>0</v>
      </c>
      <c r="N40" s="51">
        <f t="shared" si="14"/>
        <v>2093316.4</v>
      </c>
      <c r="O40" s="49">
        <f t="shared" si="14"/>
        <v>776166.8</v>
      </c>
      <c r="P40" s="49">
        <f t="shared" si="14"/>
        <v>1317149.6000000001</v>
      </c>
      <c r="Q40" s="49">
        <f t="shared" si="14"/>
        <v>0</v>
      </c>
      <c r="R40" s="51">
        <f t="shared" si="14"/>
        <v>2380203.6</v>
      </c>
      <c r="S40" s="49">
        <f t="shared" si="14"/>
        <v>776166.8</v>
      </c>
      <c r="T40" s="49">
        <f t="shared" si="14"/>
        <v>1604036.8</v>
      </c>
      <c r="U40" s="49">
        <f t="shared" si="14"/>
        <v>0</v>
      </c>
      <c r="V40" s="69">
        <f t="shared" si="2"/>
        <v>0.29399999999999998</v>
      </c>
    </row>
    <row r="41" spans="1:22" ht="18.75">
      <c r="A41" s="43"/>
      <c r="B41" s="30" t="s">
        <v>17</v>
      </c>
      <c r="C41" s="31"/>
      <c r="D41" s="33"/>
      <c r="E41" s="31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69"/>
    </row>
    <row r="42" spans="1:22" ht="66">
      <c r="A42" s="43"/>
      <c r="B42" s="34" t="s">
        <v>35</v>
      </c>
      <c r="C42" s="31">
        <v>809</v>
      </c>
      <c r="D42" s="33" t="s">
        <v>23</v>
      </c>
      <c r="E42" s="31" t="s">
        <v>266</v>
      </c>
      <c r="F42" s="49">
        <f t="shared" ref="F42:R44" si="16">G42+H42+I42</f>
        <v>909750.3</v>
      </c>
      <c r="G42" s="53"/>
      <c r="H42" s="53">
        <v>909750.3</v>
      </c>
      <c r="I42" s="53"/>
      <c r="J42" s="49">
        <f t="shared" si="16"/>
        <v>244322.4</v>
      </c>
      <c r="K42" s="53"/>
      <c r="L42" s="53">
        <f>158990.4+6845.23+75208.43+3013.9+264.48</f>
        <v>244322.4</v>
      </c>
      <c r="M42" s="53"/>
      <c r="N42" s="49">
        <f t="shared" si="16"/>
        <v>926806.3</v>
      </c>
      <c r="O42" s="53"/>
      <c r="P42" s="53">
        <v>926806.3</v>
      </c>
      <c r="Q42" s="53"/>
      <c r="R42" s="49">
        <f t="shared" si="16"/>
        <v>926806.3</v>
      </c>
      <c r="S42" s="53"/>
      <c r="T42" s="53">
        <v>926806.3</v>
      </c>
      <c r="U42" s="53"/>
      <c r="V42" s="72">
        <f t="shared" si="2"/>
        <v>0.26900000000000002</v>
      </c>
    </row>
    <row r="43" spans="1:22" ht="82.5">
      <c r="A43" s="43"/>
      <c r="B43" s="34" t="s">
        <v>36</v>
      </c>
      <c r="C43" s="31">
        <v>809</v>
      </c>
      <c r="D43" s="33" t="s">
        <v>23</v>
      </c>
      <c r="E43" s="31" t="s">
        <v>313</v>
      </c>
      <c r="F43" s="49">
        <f t="shared" si="16"/>
        <v>609050.4</v>
      </c>
      <c r="G43" s="53">
        <f>749050.4-140000</f>
        <v>609050.4</v>
      </c>
      <c r="H43" s="53"/>
      <c r="I43" s="53"/>
      <c r="J43" s="49">
        <f t="shared" si="16"/>
        <v>246030</v>
      </c>
      <c r="K43" s="53">
        <f>181672.1+61417.19+2526.37+414.36</f>
        <v>246030</v>
      </c>
      <c r="L43" s="53"/>
      <c r="M43" s="53"/>
      <c r="N43" s="49">
        <f t="shared" si="16"/>
        <v>696217</v>
      </c>
      <c r="O43" s="53">
        <v>696217</v>
      </c>
      <c r="P43" s="53"/>
      <c r="Q43" s="53"/>
      <c r="R43" s="49">
        <f t="shared" si="16"/>
        <v>674971.4</v>
      </c>
      <c r="S43" s="53">
        <v>674971.4</v>
      </c>
      <c r="T43" s="53"/>
      <c r="U43" s="53"/>
      <c r="V43" s="72">
        <f t="shared" si="2"/>
        <v>0.40400000000000003</v>
      </c>
    </row>
    <row r="44" spans="1:22" ht="82.5">
      <c r="A44" s="43"/>
      <c r="B44" s="34" t="s">
        <v>36</v>
      </c>
      <c r="C44" s="31">
        <v>809</v>
      </c>
      <c r="D44" s="33" t="s">
        <v>23</v>
      </c>
      <c r="E44" s="31" t="s">
        <v>265</v>
      </c>
      <c r="F44" s="49">
        <f t="shared" si="16"/>
        <v>159508</v>
      </c>
      <c r="G44" s="53">
        <v>27116.400000000001</v>
      </c>
      <c r="H44" s="53">
        <v>132391.6</v>
      </c>
      <c r="I44" s="53"/>
      <c r="J44" s="49">
        <f t="shared" si="16"/>
        <v>3541.4</v>
      </c>
      <c r="K44" s="53">
        <f>186.2+380.27+35.55</f>
        <v>602</v>
      </c>
      <c r="L44" s="53">
        <f>39.7+56.23+639+174.28+1856.59+173.58</f>
        <v>2939.4</v>
      </c>
      <c r="M44" s="53"/>
      <c r="N44" s="49">
        <f t="shared" si="16"/>
        <v>470293.1</v>
      </c>
      <c r="O44" s="53">
        <v>79949.8</v>
      </c>
      <c r="P44" s="53">
        <v>390343.3</v>
      </c>
      <c r="Q44" s="53"/>
      <c r="R44" s="49">
        <f t="shared" si="16"/>
        <v>778425.9</v>
      </c>
      <c r="S44" s="53">
        <v>101195.4</v>
      </c>
      <c r="T44" s="53">
        <v>677230.5</v>
      </c>
      <c r="U44" s="53"/>
      <c r="V44" s="72">
        <f t="shared" si="2"/>
        <v>2.1999999999999999E-2</v>
      </c>
    </row>
    <row r="45" spans="1:22" ht="33">
      <c r="A45" s="56" t="s">
        <v>37</v>
      </c>
      <c r="B45" s="15" t="s">
        <v>38</v>
      </c>
      <c r="C45" s="6" t="s">
        <v>14</v>
      </c>
      <c r="D45" s="6" t="s">
        <v>14</v>
      </c>
      <c r="E45" s="6" t="s">
        <v>14</v>
      </c>
      <c r="F45" s="51">
        <f t="shared" ref="F45:U45" si="17">F47</f>
        <v>3700</v>
      </c>
      <c r="G45" s="49">
        <f t="shared" si="17"/>
        <v>3700</v>
      </c>
      <c r="H45" s="49">
        <f t="shared" ref="H45" si="18">H47</f>
        <v>0</v>
      </c>
      <c r="I45" s="49">
        <f t="shared" si="17"/>
        <v>0</v>
      </c>
      <c r="J45" s="51">
        <f t="shared" si="17"/>
        <v>1500</v>
      </c>
      <c r="K45" s="49">
        <f t="shared" si="17"/>
        <v>1500</v>
      </c>
      <c r="L45" s="49">
        <f t="shared" si="17"/>
        <v>0</v>
      </c>
      <c r="M45" s="49">
        <f t="shared" si="17"/>
        <v>0</v>
      </c>
      <c r="N45" s="51">
        <f t="shared" si="17"/>
        <v>3700</v>
      </c>
      <c r="O45" s="49">
        <f t="shared" si="17"/>
        <v>3700</v>
      </c>
      <c r="P45" s="49">
        <f t="shared" si="17"/>
        <v>0</v>
      </c>
      <c r="Q45" s="49">
        <f t="shared" si="17"/>
        <v>0</v>
      </c>
      <c r="R45" s="51">
        <f t="shared" si="17"/>
        <v>3700</v>
      </c>
      <c r="S45" s="49">
        <f t="shared" si="17"/>
        <v>3700</v>
      </c>
      <c r="T45" s="49">
        <f t="shared" si="17"/>
        <v>0</v>
      </c>
      <c r="U45" s="49">
        <f t="shared" si="17"/>
        <v>0</v>
      </c>
      <c r="V45" s="69">
        <f t="shared" si="2"/>
        <v>0.40500000000000003</v>
      </c>
    </row>
    <row r="46" spans="1:22" ht="18.75">
      <c r="A46" s="56"/>
      <c r="B46" s="17" t="s">
        <v>17</v>
      </c>
      <c r="C46" s="7"/>
      <c r="D46" s="8"/>
      <c r="E46" s="7"/>
      <c r="F46" s="54"/>
      <c r="G46" s="53"/>
      <c r="H46" s="53"/>
      <c r="I46" s="53"/>
      <c r="J46" s="54"/>
      <c r="K46" s="53"/>
      <c r="L46" s="53"/>
      <c r="M46" s="53"/>
      <c r="N46" s="54"/>
      <c r="O46" s="53"/>
      <c r="P46" s="53"/>
      <c r="Q46" s="53"/>
      <c r="R46" s="54"/>
      <c r="S46" s="53"/>
      <c r="T46" s="53"/>
      <c r="U46" s="53"/>
      <c r="V46" s="72"/>
    </row>
    <row r="47" spans="1:22" ht="99">
      <c r="A47" s="56"/>
      <c r="B47" s="17" t="s">
        <v>39</v>
      </c>
      <c r="C47" s="7">
        <v>811</v>
      </c>
      <c r="D47" s="8" t="s">
        <v>19</v>
      </c>
      <c r="E47" s="7" t="s">
        <v>320</v>
      </c>
      <c r="F47" s="51">
        <f>G47+H47+I47</f>
        <v>3700</v>
      </c>
      <c r="G47" s="50">
        <v>3700</v>
      </c>
      <c r="H47" s="50"/>
      <c r="I47" s="50"/>
      <c r="J47" s="51">
        <f>K47+L47+M47</f>
        <v>1500</v>
      </c>
      <c r="K47" s="50">
        <f>300+300+300+300+300</f>
        <v>1500</v>
      </c>
      <c r="L47" s="50"/>
      <c r="M47" s="50"/>
      <c r="N47" s="51">
        <f>O47+P47+Q47</f>
        <v>3700</v>
      </c>
      <c r="O47" s="50">
        <v>3700</v>
      </c>
      <c r="P47" s="50"/>
      <c r="Q47" s="50"/>
      <c r="R47" s="51">
        <f>S47+T47+U47</f>
        <v>3700</v>
      </c>
      <c r="S47" s="50">
        <v>3700</v>
      </c>
      <c r="T47" s="50"/>
      <c r="U47" s="50"/>
      <c r="V47" s="74">
        <f t="shared" si="2"/>
        <v>0.40500000000000003</v>
      </c>
    </row>
    <row r="48" spans="1:22" ht="18.75">
      <c r="A48" s="60" t="s">
        <v>40</v>
      </c>
      <c r="B48" s="1" t="s">
        <v>41</v>
      </c>
      <c r="C48" s="1" t="s">
        <v>14</v>
      </c>
      <c r="D48" s="1" t="s">
        <v>14</v>
      </c>
      <c r="E48" s="1" t="s">
        <v>14</v>
      </c>
      <c r="F48" s="48">
        <f t="shared" ref="F48" si="19">F49+F57+F62+F66+F70</f>
        <v>2645400.2000000002</v>
      </c>
      <c r="G48" s="48">
        <f t="shared" ref="G48" si="20">G49+G57+G62+G66+G70</f>
        <v>386837.8</v>
      </c>
      <c r="H48" s="48">
        <f>H49+H57+H62+H66+H70</f>
        <v>2258562.4</v>
      </c>
      <c r="I48" s="48">
        <f t="shared" ref="I48" si="21">I49+I57+I62+I66+I70</f>
        <v>0</v>
      </c>
      <c r="J48" s="48">
        <f t="shared" ref="J48" si="22">J49+J57+J62+J66+J70</f>
        <v>150253.6</v>
      </c>
      <c r="K48" s="48">
        <f t="shared" ref="K48" si="23">K49+K57+K62+K66+K70</f>
        <v>55123.199999999997</v>
      </c>
      <c r="L48" s="48">
        <f t="shared" ref="L48" si="24">L49+L57+L62+L66+L70</f>
        <v>95130.4</v>
      </c>
      <c r="M48" s="48">
        <f t="shared" ref="M48" si="25">M49+M57+M62+M66+M70</f>
        <v>0</v>
      </c>
      <c r="N48" s="48">
        <f t="shared" ref="N48" si="26">N49+N57+N62+N66+N70</f>
        <v>3157562</v>
      </c>
      <c r="O48" s="48">
        <f t="shared" ref="O48" si="27">O49+O57+O62+O66+O70</f>
        <v>669251.1</v>
      </c>
      <c r="P48" s="48">
        <f t="shared" ref="P48" si="28">P49+P57+P62+P66+P70</f>
        <v>2488310.9</v>
      </c>
      <c r="Q48" s="48">
        <f t="shared" ref="Q48" si="29">Q49+Q57+Q62+Q66+Q70</f>
        <v>0</v>
      </c>
      <c r="R48" s="48">
        <f t="shared" ref="R48" si="30">R49+R57+R62+R66+R70</f>
        <v>646574.19999999995</v>
      </c>
      <c r="S48" s="48">
        <f t="shared" ref="S48" si="31">S49+S57+S62+S66+S70</f>
        <v>155217.70000000001</v>
      </c>
      <c r="T48" s="48">
        <f t="shared" ref="T48" si="32">T49+T57+T62+T66+T70</f>
        <v>491356.5</v>
      </c>
      <c r="U48" s="48">
        <f t="shared" ref="U48" si="33">U49+U57+U62+U66+U70</f>
        <v>0</v>
      </c>
      <c r="V48" s="68">
        <f t="shared" si="2"/>
        <v>5.7000000000000002E-2</v>
      </c>
    </row>
    <row r="49" spans="1:22" ht="49.5">
      <c r="A49" s="43" t="s">
        <v>42</v>
      </c>
      <c r="B49" s="28" t="s">
        <v>43</v>
      </c>
      <c r="C49" s="29" t="s">
        <v>14</v>
      </c>
      <c r="D49" s="29" t="s">
        <v>14</v>
      </c>
      <c r="E49" s="29" t="s">
        <v>14</v>
      </c>
      <c r="F49" s="49">
        <f t="shared" ref="F49:U49" si="34">SUM(F51:F56)</f>
        <v>278856.8</v>
      </c>
      <c r="G49" s="49">
        <f t="shared" si="34"/>
        <v>112003.4</v>
      </c>
      <c r="H49" s="49">
        <f t="shared" ref="H49" si="35">SUM(H51:H56)</f>
        <v>166853.4</v>
      </c>
      <c r="I49" s="49">
        <f t="shared" si="34"/>
        <v>0</v>
      </c>
      <c r="J49" s="49">
        <f t="shared" si="34"/>
        <v>84498.1</v>
      </c>
      <c r="K49" s="49">
        <f t="shared" si="34"/>
        <v>38009.4</v>
      </c>
      <c r="L49" s="49">
        <f t="shared" si="34"/>
        <v>46488.7</v>
      </c>
      <c r="M49" s="49">
        <f t="shared" si="34"/>
        <v>0</v>
      </c>
      <c r="N49" s="49">
        <f t="shared" si="34"/>
        <v>316877.40000000002</v>
      </c>
      <c r="O49" s="49">
        <f t="shared" si="34"/>
        <v>134752.5</v>
      </c>
      <c r="P49" s="49">
        <f t="shared" si="34"/>
        <v>182124.9</v>
      </c>
      <c r="Q49" s="49">
        <f t="shared" si="34"/>
        <v>0</v>
      </c>
      <c r="R49" s="49">
        <f t="shared" si="34"/>
        <v>234590.3</v>
      </c>
      <c r="S49" s="49">
        <f t="shared" si="34"/>
        <v>119797.5</v>
      </c>
      <c r="T49" s="49">
        <f t="shared" si="34"/>
        <v>114792.8</v>
      </c>
      <c r="U49" s="49">
        <f t="shared" si="34"/>
        <v>0</v>
      </c>
      <c r="V49" s="69">
        <f t="shared" si="2"/>
        <v>0.30299999999999999</v>
      </c>
    </row>
    <row r="50" spans="1:22" ht="18.75">
      <c r="A50" s="59"/>
      <c r="B50" s="30" t="s">
        <v>17</v>
      </c>
      <c r="C50" s="31"/>
      <c r="D50" s="31"/>
      <c r="E50" s="31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69"/>
    </row>
    <row r="51" spans="1:22" ht="82.5">
      <c r="A51" s="59"/>
      <c r="B51" s="34" t="s">
        <v>44</v>
      </c>
      <c r="C51" s="31">
        <v>811</v>
      </c>
      <c r="D51" s="33" t="s">
        <v>19</v>
      </c>
      <c r="E51" s="31" t="s">
        <v>218</v>
      </c>
      <c r="F51" s="49">
        <f t="shared" ref="F51:R56" si="36">G51+H51+I51</f>
        <v>48897</v>
      </c>
      <c r="G51" s="53"/>
      <c r="H51" s="53">
        <v>48897</v>
      </c>
      <c r="I51" s="53"/>
      <c r="J51" s="49">
        <f t="shared" si="36"/>
        <v>0</v>
      </c>
      <c r="K51" s="53"/>
      <c r="L51" s="53"/>
      <c r="M51" s="53"/>
      <c r="N51" s="49">
        <f t="shared" si="36"/>
        <v>0</v>
      </c>
      <c r="O51" s="53"/>
      <c r="P51" s="53"/>
      <c r="Q51" s="53"/>
      <c r="R51" s="49">
        <f t="shared" si="36"/>
        <v>0</v>
      </c>
      <c r="S51" s="53"/>
      <c r="T51" s="53"/>
      <c r="U51" s="53"/>
      <c r="V51" s="72">
        <f t="shared" si="2"/>
        <v>0</v>
      </c>
    </row>
    <row r="52" spans="1:22" ht="49.5">
      <c r="A52" s="59"/>
      <c r="B52" s="34" t="s">
        <v>47</v>
      </c>
      <c r="C52" s="31">
        <v>811</v>
      </c>
      <c r="D52" s="33" t="s">
        <v>19</v>
      </c>
      <c r="E52" s="31" t="s">
        <v>316</v>
      </c>
      <c r="F52" s="49">
        <f t="shared" si="36"/>
        <v>52059.8</v>
      </c>
      <c r="G52" s="53">
        <v>52059.8</v>
      </c>
      <c r="H52" s="53"/>
      <c r="I52" s="53"/>
      <c r="J52" s="49">
        <f t="shared" si="36"/>
        <v>14198.1</v>
      </c>
      <c r="K52" s="53">
        <f>4732.7+4732.71+4732.71</f>
        <v>14198.1</v>
      </c>
      <c r="L52" s="53"/>
      <c r="M52" s="53"/>
      <c r="N52" s="49">
        <f t="shared" si="36"/>
        <v>40390.300000000003</v>
      </c>
      <c r="O52" s="53">
        <v>40390.300000000003</v>
      </c>
      <c r="P52" s="53"/>
      <c r="Q52" s="53"/>
      <c r="R52" s="49">
        <f t="shared" si="36"/>
        <v>28690.3</v>
      </c>
      <c r="S52" s="53">
        <v>28690.3</v>
      </c>
      <c r="T52" s="53"/>
      <c r="U52" s="53"/>
      <c r="V52" s="72">
        <f t="shared" si="2"/>
        <v>0.27300000000000002</v>
      </c>
    </row>
    <row r="53" spans="1:22" ht="66">
      <c r="A53" s="59"/>
      <c r="B53" s="34" t="s">
        <v>45</v>
      </c>
      <c r="C53" s="31">
        <v>811</v>
      </c>
      <c r="D53" s="33" t="s">
        <v>19</v>
      </c>
      <c r="E53" s="31" t="s">
        <v>219</v>
      </c>
      <c r="F53" s="49">
        <f t="shared" si="36"/>
        <v>170000</v>
      </c>
      <c r="G53" s="53">
        <v>52043.6</v>
      </c>
      <c r="H53" s="53">
        <v>117956.4</v>
      </c>
      <c r="I53" s="53"/>
      <c r="J53" s="49">
        <f t="shared" si="36"/>
        <v>67000</v>
      </c>
      <c r="K53" s="53">
        <f>7041.2+7041.19+6428.92</f>
        <v>20511.3</v>
      </c>
      <c r="L53" s="53">
        <f>31917.6+14571.08</f>
        <v>46488.7</v>
      </c>
      <c r="M53" s="53"/>
      <c r="N53" s="49">
        <f t="shared" si="36"/>
        <v>198000</v>
      </c>
      <c r="O53" s="53">
        <v>86462.2</v>
      </c>
      <c r="P53" s="53">
        <v>111537.8</v>
      </c>
      <c r="Q53" s="53"/>
      <c r="R53" s="49">
        <f t="shared" si="36"/>
        <v>198000</v>
      </c>
      <c r="S53" s="53">
        <v>83207.199999999997</v>
      </c>
      <c r="T53" s="53">
        <v>114792.8</v>
      </c>
      <c r="U53" s="53"/>
      <c r="V53" s="72">
        <f t="shared" si="2"/>
        <v>0.39400000000000002</v>
      </c>
    </row>
    <row r="54" spans="1:22" ht="49.5">
      <c r="A54" s="59"/>
      <c r="B54" s="34" t="s">
        <v>46</v>
      </c>
      <c r="C54" s="31">
        <v>811</v>
      </c>
      <c r="D54" s="33" t="s">
        <v>19</v>
      </c>
      <c r="E54" s="31" t="s">
        <v>317</v>
      </c>
      <c r="F54" s="49">
        <f t="shared" si="36"/>
        <v>6000</v>
      </c>
      <c r="G54" s="53">
        <v>6000</v>
      </c>
      <c r="H54" s="53"/>
      <c r="I54" s="53"/>
      <c r="J54" s="49">
        <f t="shared" si="36"/>
        <v>2500</v>
      </c>
      <c r="K54" s="53">
        <f>500+500+500+500+500</f>
        <v>2500</v>
      </c>
      <c r="L54" s="53"/>
      <c r="M54" s="53"/>
      <c r="N54" s="49">
        <f t="shared" si="36"/>
        <v>6000</v>
      </c>
      <c r="O54" s="53">
        <v>6000</v>
      </c>
      <c r="P54" s="53"/>
      <c r="Q54" s="53"/>
      <c r="R54" s="49">
        <f t="shared" si="36"/>
        <v>6000</v>
      </c>
      <c r="S54" s="53">
        <v>6000</v>
      </c>
      <c r="T54" s="53"/>
      <c r="U54" s="53"/>
      <c r="V54" s="72">
        <f t="shared" si="2"/>
        <v>0.41699999999999998</v>
      </c>
    </row>
    <row r="55" spans="1:22" ht="82.5">
      <c r="A55" s="59"/>
      <c r="B55" s="34" t="s">
        <v>48</v>
      </c>
      <c r="C55" s="31">
        <v>811</v>
      </c>
      <c r="D55" s="33" t="s">
        <v>19</v>
      </c>
      <c r="E55" s="31" t="s">
        <v>321</v>
      </c>
      <c r="F55" s="49">
        <f t="shared" si="36"/>
        <v>1900</v>
      </c>
      <c r="G55" s="53">
        <v>1900</v>
      </c>
      <c r="H55" s="53"/>
      <c r="I55" s="53"/>
      <c r="J55" s="49">
        <f t="shared" si="36"/>
        <v>800</v>
      </c>
      <c r="K55" s="53">
        <f>200+200+200+200</f>
        <v>800</v>
      </c>
      <c r="L55" s="53"/>
      <c r="M55" s="53"/>
      <c r="N55" s="49">
        <f t="shared" si="36"/>
        <v>1900</v>
      </c>
      <c r="O55" s="53">
        <v>1900</v>
      </c>
      <c r="P55" s="53"/>
      <c r="Q55" s="53"/>
      <c r="R55" s="49">
        <f t="shared" si="36"/>
        <v>1900</v>
      </c>
      <c r="S55" s="53">
        <v>1900</v>
      </c>
      <c r="T55" s="53"/>
      <c r="U55" s="53"/>
      <c r="V55" s="72">
        <f t="shared" si="2"/>
        <v>0.42099999999999999</v>
      </c>
    </row>
    <row r="56" spans="1:22" ht="82.5">
      <c r="A56" s="59"/>
      <c r="B56" s="34" t="s">
        <v>216</v>
      </c>
      <c r="C56" s="31">
        <v>811</v>
      </c>
      <c r="D56" s="33" t="s">
        <v>19</v>
      </c>
      <c r="E56" s="31" t="s">
        <v>217</v>
      </c>
      <c r="F56" s="49">
        <f t="shared" si="36"/>
        <v>0</v>
      </c>
      <c r="G56" s="53"/>
      <c r="H56" s="53"/>
      <c r="I56" s="53"/>
      <c r="J56" s="49">
        <f t="shared" si="36"/>
        <v>0</v>
      </c>
      <c r="K56" s="53"/>
      <c r="L56" s="53"/>
      <c r="M56" s="53"/>
      <c r="N56" s="49">
        <f t="shared" si="36"/>
        <v>70587.100000000006</v>
      </c>
      <c r="O56" s="53"/>
      <c r="P56" s="53">
        <v>70587.100000000006</v>
      </c>
      <c r="Q56" s="53"/>
      <c r="R56" s="49">
        <f t="shared" si="36"/>
        <v>0</v>
      </c>
      <c r="S56" s="53"/>
      <c r="T56" s="53"/>
      <c r="U56" s="53"/>
      <c r="V56" s="72"/>
    </row>
    <row r="57" spans="1:22" ht="49.5">
      <c r="A57" s="43" t="s">
        <v>49</v>
      </c>
      <c r="B57" s="28" t="s">
        <v>50</v>
      </c>
      <c r="C57" s="29" t="s">
        <v>14</v>
      </c>
      <c r="D57" s="29" t="s">
        <v>14</v>
      </c>
      <c r="E57" s="29" t="s">
        <v>14</v>
      </c>
      <c r="F57" s="49">
        <f t="shared" ref="F57:U57" si="37">SUM(F59:F61)</f>
        <v>134107</v>
      </c>
      <c r="G57" s="49">
        <f t="shared" si="37"/>
        <v>6630.2</v>
      </c>
      <c r="H57" s="49">
        <f t="shared" ref="H57" si="38">SUM(H59:H61)</f>
        <v>127476.8</v>
      </c>
      <c r="I57" s="49">
        <f t="shared" si="37"/>
        <v>0</v>
      </c>
      <c r="J57" s="49">
        <f t="shared" si="37"/>
        <v>2500</v>
      </c>
      <c r="K57" s="49">
        <f t="shared" si="37"/>
        <v>2500</v>
      </c>
      <c r="L57" s="49">
        <f t="shared" si="37"/>
        <v>0</v>
      </c>
      <c r="M57" s="49">
        <f t="shared" si="37"/>
        <v>0</v>
      </c>
      <c r="N57" s="49">
        <f t="shared" si="37"/>
        <v>113968.5</v>
      </c>
      <c r="O57" s="49">
        <f t="shared" si="37"/>
        <v>6630.2</v>
      </c>
      <c r="P57" s="49">
        <f t="shared" si="37"/>
        <v>107338.3</v>
      </c>
      <c r="Q57" s="49">
        <f t="shared" si="37"/>
        <v>0</v>
      </c>
      <c r="R57" s="49">
        <f t="shared" si="37"/>
        <v>157179</v>
      </c>
      <c r="S57" s="49">
        <f t="shared" si="37"/>
        <v>6630.2</v>
      </c>
      <c r="T57" s="49">
        <f t="shared" si="37"/>
        <v>150548.79999999999</v>
      </c>
      <c r="U57" s="49">
        <f t="shared" si="37"/>
        <v>0</v>
      </c>
      <c r="V57" s="69">
        <f t="shared" si="2"/>
        <v>1.9E-2</v>
      </c>
    </row>
    <row r="58" spans="1:22" ht="18.75">
      <c r="A58" s="59"/>
      <c r="B58" s="30" t="s">
        <v>17</v>
      </c>
      <c r="C58" s="31"/>
      <c r="D58" s="31"/>
      <c r="E58" s="31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69"/>
    </row>
    <row r="59" spans="1:22" s="9" customFormat="1" ht="49.5">
      <c r="A59" s="61"/>
      <c r="B59" s="40" t="s">
        <v>51</v>
      </c>
      <c r="C59" s="41">
        <v>811</v>
      </c>
      <c r="D59" s="42" t="s">
        <v>19</v>
      </c>
      <c r="E59" s="41" t="s">
        <v>220</v>
      </c>
      <c r="F59" s="49">
        <f t="shared" ref="F59:R61" si="39">G59+H59+I59</f>
        <v>90936.5</v>
      </c>
      <c r="G59" s="55"/>
      <c r="H59" s="55">
        <v>90936.5</v>
      </c>
      <c r="I59" s="55"/>
      <c r="J59" s="49">
        <f t="shared" si="39"/>
        <v>0</v>
      </c>
      <c r="K59" s="55"/>
      <c r="L59" s="55"/>
      <c r="M59" s="55"/>
      <c r="N59" s="49">
        <f t="shared" si="39"/>
        <v>70798</v>
      </c>
      <c r="O59" s="55"/>
      <c r="P59" s="55">
        <v>70798</v>
      </c>
      <c r="Q59" s="55"/>
      <c r="R59" s="49">
        <f t="shared" si="39"/>
        <v>114008.5</v>
      </c>
      <c r="S59" s="55"/>
      <c r="T59" s="55">
        <v>114008.5</v>
      </c>
      <c r="U59" s="55"/>
      <c r="V59" s="73">
        <f t="shared" si="2"/>
        <v>0</v>
      </c>
    </row>
    <row r="60" spans="1:22" s="9" customFormat="1" ht="82.5">
      <c r="A60" s="61"/>
      <c r="B60" s="40" t="s">
        <v>222</v>
      </c>
      <c r="C60" s="41">
        <v>811</v>
      </c>
      <c r="D60" s="42" t="s">
        <v>19</v>
      </c>
      <c r="E60" s="41" t="s">
        <v>221</v>
      </c>
      <c r="F60" s="49">
        <f t="shared" si="39"/>
        <v>37670.5</v>
      </c>
      <c r="G60" s="55">
        <v>1130.2</v>
      </c>
      <c r="H60" s="55">
        <v>36540.300000000003</v>
      </c>
      <c r="I60" s="55"/>
      <c r="J60" s="49">
        <f t="shared" si="39"/>
        <v>0</v>
      </c>
      <c r="K60" s="55"/>
      <c r="L60" s="55"/>
      <c r="M60" s="55"/>
      <c r="N60" s="49">
        <f t="shared" si="39"/>
        <v>37670.5</v>
      </c>
      <c r="O60" s="55">
        <v>1130.2</v>
      </c>
      <c r="P60" s="55">
        <v>36540.300000000003</v>
      </c>
      <c r="Q60" s="55"/>
      <c r="R60" s="49">
        <f t="shared" si="39"/>
        <v>37670.5</v>
      </c>
      <c r="S60" s="55">
        <v>1130.2</v>
      </c>
      <c r="T60" s="55">
        <v>36540.300000000003</v>
      </c>
      <c r="U60" s="55"/>
      <c r="V60" s="73">
        <f t="shared" si="2"/>
        <v>0</v>
      </c>
    </row>
    <row r="61" spans="1:22" s="9" customFormat="1" ht="66">
      <c r="A61" s="61"/>
      <c r="B61" s="40" t="s">
        <v>52</v>
      </c>
      <c r="C61" s="41">
        <v>811</v>
      </c>
      <c r="D61" s="42" t="s">
        <v>19</v>
      </c>
      <c r="E61" s="41" t="s">
        <v>318</v>
      </c>
      <c r="F61" s="49">
        <f t="shared" si="39"/>
        <v>5500</v>
      </c>
      <c r="G61" s="55">
        <v>5500</v>
      </c>
      <c r="H61" s="55"/>
      <c r="I61" s="55"/>
      <c r="J61" s="49">
        <f t="shared" si="39"/>
        <v>2500</v>
      </c>
      <c r="K61" s="55">
        <f>500+500+500+500+500</f>
        <v>2500</v>
      </c>
      <c r="L61" s="55"/>
      <c r="M61" s="55"/>
      <c r="N61" s="49">
        <f t="shared" si="39"/>
        <v>5500</v>
      </c>
      <c r="O61" s="55">
        <v>5500</v>
      </c>
      <c r="P61" s="55"/>
      <c r="Q61" s="55"/>
      <c r="R61" s="49">
        <f t="shared" si="39"/>
        <v>5500</v>
      </c>
      <c r="S61" s="55">
        <v>5500</v>
      </c>
      <c r="T61" s="55"/>
      <c r="U61" s="55"/>
      <c r="V61" s="73">
        <f t="shared" si="2"/>
        <v>0.45500000000000002</v>
      </c>
    </row>
    <row r="62" spans="1:22" ht="105" customHeight="1">
      <c r="A62" s="56" t="s">
        <v>53</v>
      </c>
      <c r="B62" s="15" t="s">
        <v>54</v>
      </c>
      <c r="C62" s="6" t="s">
        <v>14</v>
      </c>
      <c r="D62" s="6" t="s">
        <v>14</v>
      </c>
      <c r="E62" s="6" t="s">
        <v>14</v>
      </c>
      <c r="F62" s="51">
        <f t="shared" ref="F62:T62" si="40">SUM(F64:F65)</f>
        <v>107637</v>
      </c>
      <c r="G62" s="49">
        <f t="shared" si="40"/>
        <v>20373.3</v>
      </c>
      <c r="H62" s="49">
        <f t="shared" si="40"/>
        <v>87263.7</v>
      </c>
      <c r="I62" s="49">
        <f t="shared" si="40"/>
        <v>0</v>
      </c>
      <c r="J62" s="51">
        <f t="shared" si="40"/>
        <v>1000</v>
      </c>
      <c r="K62" s="49">
        <f t="shared" si="40"/>
        <v>1000</v>
      </c>
      <c r="L62" s="49">
        <f t="shared" si="40"/>
        <v>0</v>
      </c>
      <c r="M62" s="49">
        <f t="shared" si="40"/>
        <v>0</v>
      </c>
      <c r="N62" s="51">
        <f t="shared" si="40"/>
        <v>2500</v>
      </c>
      <c r="O62" s="49">
        <f t="shared" si="40"/>
        <v>2500</v>
      </c>
      <c r="P62" s="49">
        <f t="shared" si="40"/>
        <v>0</v>
      </c>
      <c r="Q62" s="49">
        <f t="shared" si="40"/>
        <v>0</v>
      </c>
      <c r="R62" s="51">
        <f t="shared" si="40"/>
        <v>2500</v>
      </c>
      <c r="S62" s="49">
        <f t="shared" si="40"/>
        <v>2500</v>
      </c>
      <c r="T62" s="49">
        <f t="shared" si="40"/>
        <v>0</v>
      </c>
      <c r="U62" s="49">
        <f>SUM(U64:U65)</f>
        <v>0</v>
      </c>
      <c r="V62" s="75">
        <f>J62/F62</f>
        <v>8.9999999999999993E-3</v>
      </c>
    </row>
    <row r="63" spans="1:22" ht="18.75">
      <c r="A63" s="57"/>
      <c r="B63" s="16" t="s">
        <v>17</v>
      </c>
      <c r="C63" s="7"/>
      <c r="D63" s="7"/>
      <c r="E63" s="7"/>
      <c r="F63" s="51"/>
      <c r="G63" s="49"/>
      <c r="H63" s="49"/>
      <c r="I63" s="49"/>
      <c r="J63" s="51"/>
      <c r="K63" s="49"/>
      <c r="L63" s="49"/>
      <c r="M63" s="49"/>
      <c r="N63" s="51"/>
      <c r="O63" s="49"/>
      <c r="P63" s="49"/>
      <c r="Q63" s="49"/>
      <c r="R63" s="51"/>
      <c r="S63" s="49"/>
      <c r="T63" s="49"/>
      <c r="U63" s="49"/>
      <c r="V63" s="69"/>
    </row>
    <row r="64" spans="1:22" ht="82.5">
      <c r="A64" s="57"/>
      <c r="B64" s="17" t="s">
        <v>55</v>
      </c>
      <c r="C64" s="7">
        <v>811</v>
      </c>
      <c r="D64" s="8" t="s">
        <v>19</v>
      </c>
      <c r="E64" s="7" t="s">
        <v>226</v>
      </c>
      <c r="F64" s="51">
        <f t="shared" ref="F64:F65" si="41">G64+H64+I64</f>
        <v>105137</v>
      </c>
      <c r="G64" s="53">
        <f>17629.8+243.5</f>
        <v>17873.3</v>
      </c>
      <c r="H64" s="53">
        <v>87263.7</v>
      </c>
      <c r="I64" s="53"/>
      <c r="J64" s="51">
        <f t="shared" ref="J64:J65" si="42">K64+L64+M64</f>
        <v>0</v>
      </c>
      <c r="K64" s="53"/>
      <c r="L64" s="53"/>
      <c r="M64" s="53"/>
      <c r="N64" s="64">
        <f>O64+P64+Q64</f>
        <v>0</v>
      </c>
      <c r="O64" s="53"/>
      <c r="P64" s="53"/>
      <c r="Q64" s="53"/>
      <c r="R64" s="64">
        <f>S64+T64+U64</f>
        <v>0</v>
      </c>
      <c r="S64" s="53"/>
      <c r="T64" s="53"/>
      <c r="U64" s="53"/>
      <c r="V64" s="72">
        <f t="shared" ref="V64:V120" si="43">J64/F64</f>
        <v>0</v>
      </c>
    </row>
    <row r="65" spans="1:22" ht="49.5">
      <c r="A65" s="57"/>
      <c r="B65" s="17" t="s">
        <v>56</v>
      </c>
      <c r="C65" s="7">
        <v>811</v>
      </c>
      <c r="D65" s="8" t="s">
        <v>19</v>
      </c>
      <c r="E65" s="7" t="s">
        <v>319</v>
      </c>
      <c r="F65" s="51">
        <f t="shared" si="41"/>
        <v>2500</v>
      </c>
      <c r="G65" s="53">
        <v>2500</v>
      </c>
      <c r="H65" s="53"/>
      <c r="I65" s="53"/>
      <c r="J65" s="51">
        <f t="shared" si="42"/>
        <v>1000</v>
      </c>
      <c r="K65" s="53">
        <v>1000</v>
      </c>
      <c r="L65" s="53"/>
      <c r="M65" s="53"/>
      <c r="N65" s="64">
        <f>O65+P65+Q65</f>
        <v>2500</v>
      </c>
      <c r="O65" s="53">
        <v>2500</v>
      </c>
      <c r="P65" s="53"/>
      <c r="Q65" s="53"/>
      <c r="R65" s="64">
        <f>S65+T65+U65</f>
        <v>2500</v>
      </c>
      <c r="S65" s="53">
        <v>2500</v>
      </c>
      <c r="T65" s="53"/>
      <c r="U65" s="53"/>
      <c r="V65" s="72">
        <f t="shared" si="43"/>
        <v>0.4</v>
      </c>
    </row>
    <row r="66" spans="1:22" ht="99">
      <c r="A66" s="43" t="s">
        <v>57</v>
      </c>
      <c r="B66" s="28" t="s">
        <v>58</v>
      </c>
      <c r="C66" s="29" t="s">
        <v>14</v>
      </c>
      <c r="D66" s="29" t="s">
        <v>14</v>
      </c>
      <c r="E66" s="29" t="s">
        <v>14</v>
      </c>
      <c r="F66" s="49">
        <f t="shared" ref="F66:U66" si="44">SUM(F68:F69)</f>
        <v>404020.4</v>
      </c>
      <c r="G66" s="49">
        <f t="shared" si="44"/>
        <v>24597.4</v>
      </c>
      <c r="H66" s="49">
        <f t="shared" ref="H66" si="45">SUM(H68:H69)</f>
        <v>379423</v>
      </c>
      <c r="I66" s="49">
        <f t="shared" si="44"/>
        <v>0</v>
      </c>
      <c r="J66" s="49">
        <f t="shared" si="44"/>
        <v>3000</v>
      </c>
      <c r="K66" s="49">
        <f t="shared" si="44"/>
        <v>3000</v>
      </c>
      <c r="L66" s="49">
        <f t="shared" si="44"/>
        <v>0</v>
      </c>
      <c r="M66" s="49">
        <f t="shared" si="44"/>
        <v>0</v>
      </c>
      <c r="N66" s="49">
        <f t="shared" si="44"/>
        <v>132395.1</v>
      </c>
      <c r="O66" s="49">
        <f t="shared" si="44"/>
        <v>26290</v>
      </c>
      <c r="P66" s="49">
        <f t="shared" si="44"/>
        <v>106105.1</v>
      </c>
      <c r="Q66" s="49">
        <f t="shared" si="44"/>
        <v>0</v>
      </c>
      <c r="R66" s="49">
        <f t="shared" si="44"/>
        <v>39615</v>
      </c>
      <c r="S66" s="49">
        <f t="shared" si="44"/>
        <v>26290</v>
      </c>
      <c r="T66" s="49">
        <f t="shared" si="44"/>
        <v>13325</v>
      </c>
      <c r="U66" s="49">
        <f t="shared" si="44"/>
        <v>0</v>
      </c>
      <c r="V66" s="69">
        <f t="shared" si="43"/>
        <v>7.0000000000000001E-3</v>
      </c>
    </row>
    <row r="67" spans="1:22" ht="18.75">
      <c r="A67" s="59"/>
      <c r="B67" s="30" t="s">
        <v>17</v>
      </c>
      <c r="C67" s="31"/>
      <c r="D67" s="31"/>
      <c r="E67" s="31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69"/>
    </row>
    <row r="68" spans="1:22" ht="82.5">
      <c r="A68" s="59"/>
      <c r="B68" s="34" t="s">
        <v>59</v>
      </c>
      <c r="C68" s="31">
        <v>811</v>
      </c>
      <c r="D68" s="33" t="s">
        <v>19</v>
      </c>
      <c r="E68" s="31" t="s">
        <v>227</v>
      </c>
      <c r="F68" s="49">
        <f t="shared" ref="F68:R69" si="46">G68+H68+I68</f>
        <v>397213</v>
      </c>
      <c r="G68" s="53">
        <v>17790</v>
      </c>
      <c r="H68" s="53">
        <v>379423</v>
      </c>
      <c r="I68" s="53"/>
      <c r="J68" s="49">
        <f t="shared" si="46"/>
        <v>0</v>
      </c>
      <c r="K68" s="53"/>
      <c r="L68" s="53"/>
      <c r="M68" s="53"/>
      <c r="N68" s="49">
        <f t="shared" si="46"/>
        <v>123895.1</v>
      </c>
      <c r="O68" s="53">
        <v>17790</v>
      </c>
      <c r="P68" s="53">
        <v>106105.1</v>
      </c>
      <c r="Q68" s="53"/>
      <c r="R68" s="49">
        <f t="shared" si="46"/>
        <v>31115</v>
      </c>
      <c r="S68" s="53">
        <v>17790</v>
      </c>
      <c r="T68" s="53">
        <v>13325</v>
      </c>
      <c r="U68" s="53"/>
      <c r="V68" s="72">
        <f t="shared" si="43"/>
        <v>0</v>
      </c>
    </row>
    <row r="69" spans="1:22" ht="66">
      <c r="A69" s="59"/>
      <c r="B69" s="34" t="s">
        <v>60</v>
      </c>
      <c r="C69" s="31">
        <v>811</v>
      </c>
      <c r="D69" s="33" t="s">
        <v>19</v>
      </c>
      <c r="E69" s="31" t="s">
        <v>315</v>
      </c>
      <c r="F69" s="49">
        <f t="shared" si="46"/>
        <v>6807.4</v>
      </c>
      <c r="G69" s="53">
        <f>8500-1692.6</f>
        <v>6807.4</v>
      </c>
      <c r="H69" s="53"/>
      <c r="I69" s="53"/>
      <c r="J69" s="49">
        <f t="shared" si="46"/>
        <v>3000</v>
      </c>
      <c r="K69" s="53">
        <f>2400+600</f>
        <v>3000</v>
      </c>
      <c r="L69" s="53"/>
      <c r="M69" s="53"/>
      <c r="N69" s="49">
        <f t="shared" si="46"/>
        <v>8500</v>
      </c>
      <c r="O69" s="53">
        <v>8500</v>
      </c>
      <c r="P69" s="53"/>
      <c r="Q69" s="53"/>
      <c r="R69" s="49">
        <f t="shared" si="46"/>
        <v>8500</v>
      </c>
      <c r="S69" s="53">
        <v>8500</v>
      </c>
      <c r="T69" s="53"/>
      <c r="U69" s="53"/>
      <c r="V69" s="72">
        <f t="shared" si="43"/>
        <v>0.441</v>
      </c>
    </row>
    <row r="70" spans="1:22" ht="33" customHeight="1">
      <c r="A70" s="27" t="s">
        <v>61</v>
      </c>
      <c r="B70" s="15" t="s">
        <v>62</v>
      </c>
      <c r="C70" s="6" t="s">
        <v>14</v>
      </c>
      <c r="D70" s="6" t="s">
        <v>14</v>
      </c>
      <c r="E70" s="6" t="s">
        <v>14</v>
      </c>
      <c r="F70" s="51">
        <f t="shared" ref="F70:U70" si="47">SUM(F72:F73)</f>
        <v>1720779</v>
      </c>
      <c r="G70" s="49">
        <f>SUM(G72:G73)</f>
        <v>223233.5</v>
      </c>
      <c r="H70" s="49">
        <f t="shared" ref="H70" si="48">SUM(H72:H73)</f>
        <v>1497545.5</v>
      </c>
      <c r="I70" s="49">
        <f t="shared" si="47"/>
        <v>0</v>
      </c>
      <c r="J70" s="51">
        <f t="shared" si="47"/>
        <v>59255.5</v>
      </c>
      <c r="K70" s="49">
        <f t="shared" si="47"/>
        <v>10613.8</v>
      </c>
      <c r="L70" s="49">
        <f t="shared" si="47"/>
        <v>48641.7</v>
      </c>
      <c r="M70" s="49">
        <f t="shared" si="47"/>
        <v>0</v>
      </c>
      <c r="N70" s="51">
        <f t="shared" si="47"/>
        <v>2591821</v>
      </c>
      <c r="O70" s="49">
        <f t="shared" si="47"/>
        <v>499078.40000000002</v>
      </c>
      <c r="P70" s="49">
        <f t="shared" si="47"/>
        <v>2092742.6</v>
      </c>
      <c r="Q70" s="49">
        <f t="shared" si="47"/>
        <v>0</v>
      </c>
      <c r="R70" s="51">
        <f t="shared" si="47"/>
        <v>212689.9</v>
      </c>
      <c r="S70" s="49">
        <f t="shared" si="47"/>
        <v>0</v>
      </c>
      <c r="T70" s="49">
        <f t="shared" si="47"/>
        <v>212689.9</v>
      </c>
      <c r="U70" s="49">
        <f t="shared" si="47"/>
        <v>0</v>
      </c>
      <c r="V70" s="69">
        <f t="shared" si="43"/>
        <v>3.4000000000000002E-2</v>
      </c>
    </row>
    <row r="71" spans="1:22" ht="18.75">
      <c r="A71" s="57"/>
      <c r="B71" s="16" t="s">
        <v>17</v>
      </c>
      <c r="C71" s="7"/>
      <c r="D71" s="7"/>
      <c r="E71" s="7"/>
      <c r="F71" s="51"/>
      <c r="G71" s="49"/>
      <c r="H71" s="49"/>
      <c r="I71" s="49"/>
      <c r="J71" s="51"/>
      <c r="K71" s="49"/>
      <c r="L71" s="49"/>
      <c r="M71" s="49"/>
      <c r="N71" s="51"/>
      <c r="O71" s="49"/>
      <c r="P71" s="49"/>
      <c r="Q71" s="49"/>
      <c r="R71" s="51"/>
      <c r="S71" s="49"/>
      <c r="T71" s="49"/>
      <c r="U71" s="49"/>
      <c r="V71" s="69"/>
    </row>
    <row r="72" spans="1:22" ht="49.5">
      <c r="A72" s="56"/>
      <c r="B72" s="17" t="s">
        <v>223</v>
      </c>
      <c r="C72" s="7">
        <v>811</v>
      </c>
      <c r="D72" s="8" t="s">
        <v>19</v>
      </c>
      <c r="E72" s="7" t="s">
        <v>224</v>
      </c>
      <c r="F72" s="51">
        <f t="shared" ref="F72:R73" si="49">G72+H72+I72</f>
        <v>438102.8</v>
      </c>
      <c r="G72" s="53"/>
      <c r="H72" s="53">
        <v>438102.8</v>
      </c>
      <c r="I72" s="53"/>
      <c r="J72" s="51">
        <f t="shared" si="49"/>
        <v>0</v>
      </c>
      <c r="K72" s="53"/>
      <c r="L72" s="53"/>
      <c r="M72" s="53"/>
      <c r="N72" s="51">
        <f t="shared" si="49"/>
        <v>177770.6</v>
      </c>
      <c r="O72" s="53"/>
      <c r="P72" s="53">
        <v>177770.6</v>
      </c>
      <c r="Q72" s="53"/>
      <c r="R72" s="51">
        <f t="shared" si="49"/>
        <v>212689.9</v>
      </c>
      <c r="S72" s="53"/>
      <c r="T72" s="53">
        <v>212689.9</v>
      </c>
      <c r="U72" s="53"/>
      <c r="V72" s="72">
        <f t="shared" si="43"/>
        <v>0</v>
      </c>
    </row>
    <row r="73" spans="1:22" ht="82.5">
      <c r="A73" s="56"/>
      <c r="B73" s="17" t="s">
        <v>384</v>
      </c>
      <c r="C73" s="7">
        <v>821</v>
      </c>
      <c r="D73" s="8" t="s">
        <v>21</v>
      </c>
      <c r="E73" s="7" t="s">
        <v>225</v>
      </c>
      <c r="F73" s="51">
        <f>G73+H73+I73</f>
        <v>1282676.2</v>
      </c>
      <c r="G73" s="53">
        <f>202067.8+21155.23+10.49</f>
        <v>223233.5</v>
      </c>
      <c r="H73" s="53">
        <f>957485+101957.7</f>
        <v>1059442.7</v>
      </c>
      <c r="I73" s="53"/>
      <c r="J73" s="51">
        <f t="shared" si="49"/>
        <v>59255.5</v>
      </c>
      <c r="K73" s="53">
        <f>3513.6+2566.08+4534.12</f>
        <v>10613.8</v>
      </c>
      <c r="L73" s="53">
        <f>14693.3+12269.26+21679.11</f>
        <v>48641.7</v>
      </c>
      <c r="M73" s="53"/>
      <c r="N73" s="51">
        <f t="shared" si="49"/>
        <v>2414050.4</v>
      </c>
      <c r="O73" s="53">
        <v>499078.40000000002</v>
      </c>
      <c r="P73" s="53">
        <v>1914972</v>
      </c>
      <c r="Q73" s="53"/>
      <c r="R73" s="51">
        <f t="shared" si="49"/>
        <v>0</v>
      </c>
      <c r="S73" s="53"/>
      <c r="T73" s="53"/>
      <c r="U73" s="53"/>
      <c r="V73" s="72">
        <f t="shared" si="43"/>
        <v>4.5999999999999999E-2</v>
      </c>
    </row>
    <row r="74" spans="1:22" ht="18.75">
      <c r="A74" s="58" t="s">
        <v>63</v>
      </c>
      <c r="B74" s="21" t="s">
        <v>64</v>
      </c>
      <c r="C74" s="1" t="s">
        <v>14</v>
      </c>
      <c r="D74" s="1" t="s">
        <v>14</v>
      </c>
      <c r="E74" s="1" t="s">
        <v>14</v>
      </c>
      <c r="F74" s="48">
        <f t="shared" ref="F74:U74" si="50">F75+F83+F90+F101+F109+F112+F115</f>
        <v>1787632.6</v>
      </c>
      <c r="G74" s="48">
        <f t="shared" si="50"/>
        <v>1310646.2</v>
      </c>
      <c r="H74" s="48">
        <f t="shared" si="50"/>
        <v>443368.5</v>
      </c>
      <c r="I74" s="48">
        <f t="shared" si="50"/>
        <v>33617.9</v>
      </c>
      <c r="J74" s="48">
        <f t="shared" si="50"/>
        <v>754511.5</v>
      </c>
      <c r="K74" s="48">
        <f t="shared" si="50"/>
        <v>746972.9</v>
      </c>
      <c r="L74" s="48">
        <f t="shared" si="50"/>
        <v>6645.7</v>
      </c>
      <c r="M74" s="48">
        <f t="shared" si="50"/>
        <v>892.9</v>
      </c>
      <c r="N74" s="48">
        <f t="shared" si="50"/>
        <v>1953715.3</v>
      </c>
      <c r="O74" s="48">
        <f t="shared" si="50"/>
        <v>907005.1</v>
      </c>
      <c r="P74" s="48">
        <f t="shared" si="50"/>
        <v>1046710.2</v>
      </c>
      <c r="Q74" s="48">
        <f t="shared" si="50"/>
        <v>0</v>
      </c>
      <c r="R74" s="48">
        <f t="shared" si="50"/>
        <v>1355775.8</v>
      </c>
      <c r="S74" s="48">
        <f t="shared" si="50"/>
        <v>970286.5</v>
      </c>
      <c r="T74" s="48">
        <f t="shared" si="50"/>
        <v>385489.3</v>
      </c>
      <c r="U74" s="48">
        <f t="shared" si="50"/>
        <v>0</v>
      </c>
      <c r="V74" s="68">
        <f t="shared" si="43"/>
        <v>0.42199999999999999</v>
      </c>
    </row>
    <row r="75" spans="1:22" ht="33">
      <c r="A75" s="56" t="s">
        <v>65</v>
      </c>
      <c r="B75" s="15" t="s">
        <v>66</v>
      </c>
      <c r="C75" s="6" t="s">
        <v>14</v>
      </c>
      <c r="D75" s="6" t="s">
        <v>14</v>
      </c>
      <c r="E75" s="6" t="s">
        <v>14</v>
      </c>
      <c r="F75" s="51">
        <f t="shared" ref="F75:U75" si="51">SUM(F77:F82)</f>
        <v>1312678.3999999999</v>
      </c>
      <c r="G75" s="49">
        <f t="shared" si="51"/>
        <v>1134516.5</v>
      </c>
      <c r="H75" s="49">
        <f t="shared" ref="H75" si="52">SUM(H77:H82)</f>
        <v>145054</v>
      </c>
      <c r="I75" s="49">
        <f t="shared" si="51"/>
        <v>33107.9</v>
      </c>
      <c r="J75" s="51">
        <f t="shared" si="51"/>
        <v>732955.1</v>
      </c>
      <c r="K75" s="49">
        <f t="shared" si="51"/>
        <v>732062.2</v>
      </c>
      <c r="L75" s="49">
        <f t="shared" si="51"/>
        <v>0</v>
      </c>
      <c r="M75" s="49">
        <f t="shared" si="51"/>
        <v>892.9</v>
      </c>
      <c r="N75" s="51">
        <f t="shared" si="51"/>
        <v>1040766</v>
      </c>
      <c r="O75" s="49">
        <f t="shared" si="51"/>
        <v>688444.2</v>
      </c>
      <c r="P75" s="49">
        <f t="shared" si="51"/>
        <v>352321.8</v>
      </c>
      <c r="Q75" s="49">
        <f t="shared" si="51"/>
        <v>0</v>
      </c>
      <c r="R75" s="51">
        <f t="shared" si="51"/>
        <v>1051651.8999999999</v>
      </c>
      <c r="S75" s="49">
        <f t="shared" si="51"/>
        <v>698195.2</v>
      </c>
      <c r="T75" s="49">
        <f t="shared" si="51"/>
        <v>353456.7</v>
      </c>
      <c r="U75" s="49">
        <f t="shared" si="51"/>
        <v>0</v>
      </c>
      <c r="V75" s="69">
        <f t="shared" si="43"/>
        <v>0.55800000000000005</v>
      </c>
    </row>
    <row r="76" spans="1:22" ht="18.75">
      <c r="A76" s="59"/>
      <c r="B76" s="30" t="s">
        <v>17</v>
      </c>
      <c r="C76" s="31"/>
      <c r="D76" s="31"/>
      <c r="E76" s="31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69"/>
    </row>
    <row r="77" spans="1:22" ht="132">
      <c r="A77" s="59"/>
      <c r="B77" s="34" t="s">
        <v>240</v>
      </c>
      <c r="C77" s="31">
        <v>815</v>
      </c>
      <c r="D77" s="33" t="s">
        <v>67</v>
      </c>
      <c r="E77" s="44" t="s">
        <v>241</v>
      </c>
      <c r="F77" s="49">
        <f t="shared" ref="F77:R82" si="53">G77+H77+I77</f>
        <v>34628.699999999997</v>
      </c>
      <c r="G77" s="53">
        <v>1038.9000000000001</v>
      </c>
      <c r="H77" s="53">
        <v>33589.800000000003</v>
      </c>
      <c r="I77" s="53"/>
      <c r="J77" s="49">
        <f t="shared" si="53"/>
        <v>0</v>
      </c>
      <c r="K77" s="53"/>
      <c r="L77" s="53"/>
      <c r="M77" s="53"/>
      <c r="N77" s="49">
        <f t="shared" si="53"/>
        <v>0</v>
      </c>
      <c r="O77" s="53"/>
      <c r="P77" s="53"/>
      <c r="Q77" s="53"/>
      <c r="R77" s="49">
        <f t="shared" si="53"/>
        <v>0</v>
      </c>
      <c r="S77" s="53"/>
      <c r="T77" s="53"/>
      <c r="U77" s="53"/>
      <c r="V77" s="72">
        <f t="shared" si="43"/>
        <v>0</v>
      </c>
    </row>
    <row r="78" spans="1:22" ht="99">
      <c r="A78" s="59"/>
      <c r="B78" s="34" t="s">
        <v>242</v>
      </c>
      <c r="C78" s="31">
        <v>815</v>
      </c>
      <c r="D78" s="33" t="s">
        <v>67</v>
      </c>
      <c r="E78" s="44" t="s">
        <v>243</v>
      </c>
      <c r="F78" s="49">
        <f t="shared" si="53"/>
        <v>21654.7</v>
      </c>
      <c r="G78" s="53">
        <v>6493.4</v>
      </c>
      <c r="H78" s="53">
        <v>15161.3</v>
      </c>
      <c r="I78" s="53"/>
      <c r="J78" s="49">
        <f t="shared" si="53"/>
        <v>88.5</v>
      </c>
      <c r="K78" s="53">
        <f>88.53</f>
        <v>88.5</v>
      </c>
      <c r="L78" s="53"/>
      <c r="M78" s="53"/>
      <c r="N78" s="49">
        <f t="shared" si="53"/>
        <v>14766</v>
      </c>
      <c r="O78" s="53">
        <v>600</v>
      </c>
      <c r="P78" s="53">
        <v>14166</v>
      </c>
      <c r="Q78" s="53"/>
      <c r="R78" s="49">
        <f t="shared" si="53"/>
        <v>25652</v>
      </c>
      <c r="S78" s="53">
        <v>10351</v>
      </c>
      <c r="T78" s="53">
        <v>15301</v>
      </c>
      <c r="U78" s="53"/>
      <c r="V78" s="72">
        <f t="shared" si="43"/>
        <v>4.0000000000000001E-3</v>
      </c>
    </row>
    <row r="79" spans="1:22" ht="82.5">
      <c r="A79" s="59"/>
      <c r="B79" s="34" t="s">
        <v>174</v>
      </c>
      <c r="C79" s="31">
        <v>821</v>
      </c>
      <c r="D79" s="33" t="s">
        <v>21</v>
      </c>
      <c r="E79" s="44" t="s">
        <v>367</v>
      </c>
      <c r="F79" s="49">
        <f t="shared" si="53"/>
        <v>378183.2</v>
      </c>
      <c r="G79" s="53">
        <f>307301.8-25729.1</f>
        <v>281572.7</v>
      </c>
      <c r="H79" s="53">
        <v>96302.9</v>
      </c>
      <c r="I79" s="53">
        <v>307.60000000000002</v>
      </c>
      <c r="J79" s="49">
        <f t="shared" si="53"/>
        <v>0</v>
      </c>
      <c r="K79" s="53"/>
      <c r="L79" s="53"/>
      <c r="M79" s="53"/>
      <c r="N79" s="49">
        <f t="shared" si="53"/>
        <v>0</v>
      </c>
      <c r="O79" s="53"/>
      <c r="P79" s="53"/>
      <c r="Q79" s="53"/>
      <c r="R79" s="49">
        <f t="shared" si="53"/>
        <v>0</v>
      </c>
      <c r="S79" s="53"/>
      <c r="T79" s="53"/>
      <c r="U79" s="53"/>
      <c r="V79" s="72">
        <f t="shared" si="43"/>
        <v>0</v>
      </c>
    </row>
    <row r="80" spans="1:22" ht="66">
      <c r="A80" s="59"/>
      <c r="B80" s="34" t="s">
        <v>344</v>
      </c>
      <c r="C80" s="31">
        <v>815</v>
      </c>
      <c r="D80" s="33" t="s">
        <v>67</v>
      </c>
      <c r="E80" s="44" t="s">
        <v>343</v>
      </c>
      <c r="F80" s="49">
        <f t="shared" si="53"/>
        <v>69189.100000000006</v>
      </c>
      <c r="G80" s="53">
        <v>69119.8</v>
      </c>
      <c r="H80" s="53"/>
      <c r="I80" s="53">
        <v>69.3</v>
      </c>
      <c r="J80" s="49">
        <f t="shared" si="53"/>
        <v>0</v>
      </c>
      <c r="K80" s="53"/>
      <c r="L80" s="53"/>
      <c r="M80" s="53"/>
      <c r="N80" s="49">
        <f t="shared" si="53"/>
        <v>0</v>
      </c>
      <c r="O80" s="53"/>
      <c r="P80" s="53"/>
      <c r="Q80" s="53"/>
      <c r="R80" s="49">
        <f t="shared" si="53"/>
        <v>0</v>
      </c>
      <c r="S80" s="53"/>
      <c r="T80" s="53"/>
      <c r="U80" s="53"/>
      <c r="V80" s="72">
        <f t="shared" si="43"/>
        <v>0</v>
      </c>
    </row>
    <row r="81" spans="1:22" ht="66">
      <c r="A81" s="59"/>
      <c r="B81" s="34" t="s">
        <v>175</v>
      </c>
      <c r="C81" s="31">
        <v>821</v>
      </c>
      <c r="D81" s="33" t="s">
        <v>21</v>
      </c>
      <c r="E81" s="44" t="s">
        <v>244</v>
      </c>
      <c r="F81" s="49">
        <f t="shared" si="53"/>
        <v>732866.7</v>
      </c>
      <c r="G81" s="53">
        <v>731973.7</v>
      </c>
      <c r="H81" s="53"/>
      <c r="I81" s="53">
        <v>893</v>
      </c>
      <c r="J81" s="49">
        <f t="shared" si="53"/>
        <v>732866.6</v>
      </c>
      <c r="K81" s="53">
        <v>731973.7</v>
      </c>
      <c r="L81" s="53"/>
      <c r="M81" s="53">
        <v>892.9</v>
      </c>
      <c r="N81" s="49">
        <f t="shared" si="53"/>
        <v>1026000</v>
      </c>
      <c r="O81" s="53">
        <v>687844.2</v>
      </c>
      <c r="P81" s="53">
        <v>338155.8</v>
      </c>
      <c r="Q81" s="53"/>
      <c r="R81" s="49">
        <f t="shared" si="53"/>
        <v>1025999.9</v>
      </c>
      <c r="S81" s="53">
        <v>687844.2</v>
      </c>
      <c r="T81" s="53">
        <v>338155.7</v>
      </c>
      <c r="U81" s="53"/>
      <c r="V81" s="72">
        <f t="shared" si="43"/>
        <v>1</v>
      </c>
    </row>
    <row r="82" spans="1:22" ht="49.5">
      <c r="A82" s="59"/>
      <c r="B82" s="34" t="s">
        <v>68</v>
      </c>
      <c r="C82" s="31">
        <v>815</v>
      </c>
      <c r="D82" s="33" t="s">
        <v>67</v>
      </c>
      <c r="E82" s="44" t="s">
        <v>345</v>
      </c>
      <c r="F82" s="49">
        <f t="shared" si="53"/>
        <v>76156</v>
      </c>
      <c r="G82" s="53">
        <v>44318</v>
      </c>
      <c r="H82" s="53"/>
      <c r="I82" s="53">
        <v>31838</v>
      </c>
      <c r="J82" s="49">
        <f t="shared" si="53"/>
        <v>0</v>
      </c>
      <c r="K82" s="53"/>
      <c r="L82" s="53"/>
      <c r="M82" s="53"/>
      <c r="N82" s="49">
        <f t="shared" si="53"/>
        <v>0</v>
      </c>
      <c r="O82" s="53"/>
      <c r="P82" s="53"/>
      <c r="Q82" s="53"/>
      <c r="R82" s="49">
        <f t="shared" si="53"/>
        <v>0</v>
      </c>
      <c r="S82" s="53"/>
      <c r="T82" s="53"/>
      <c r="U82" s="53"/>
      <c r="V82" s="72">
        <f t="shared" si="43"/>
        <v>0</v>
      </c>
    </row>
    <row r="83" spans="1:22" ht="33">
      <c r="A83" s="43" t="s">
        <v>69</v>
      </c>
      <c r="B83" s="28" t="s">
        <v>70</v>
      </c>
      <c r="C83" s="29" t="s">
        <v>14</v>
      </c>
      <c r="D83" s="29" t="s">
        <v>14</v>
      </c>
      <c r="E83" s="29" t="s">
        <v>14</v>
      </c>
      <c r="F83" s="49">
        <f t="shared" ref="F83:U83" si="54">SUM(F85:F89)</f>
        <v>300091.40000000002</v>
      </c>
      <c r="G83" s="49">
        <f t="shared" si="54"/>
        <v>65893.3</v>
      </c>
      <c r="H83" s="49">
        <f t="shared" si="54"/>
        <v>234198.1</v>
      </c>
      <c r="I83" s="49">
        <f t="shared" si="54"/>
        <v>0</v>
      </c>
      <c r="J83" s="49">
        <f t="shared" si="54"/>
        <v>52.7</v>
      </c>
      <c r="K83" s="49">
        <f t="shared" si="54"/>
        <v>52.7</v>
      </c>
      <c r="L83" s="49">
        <f t="shared" si="54"/>
        <v>0</v>
      </c>
      <c r="M83" s="49">
        <f t="shared" si="54"/>
        <v>0</v>
      </c>
      <c r="N83" s="49">
        <f t="shared" si="54"/>
        <v>726158.1</v>
      </c>
      <c r="O83" s="49">
        <f t="shared" si="54"/>
        <v>130244</v>
      </c>
      <c r="P83" s="49">
        <f t="shared" si="54"/>
        <v>595914.1</v>
      </c>
      <c r="Q83" s="49">
        <f t="shared" si="54"/>
        <v>0</v>
      </c>
      <c r="R83" s="49">
        <f t="shared" si="54"/>
        <v>204524.2</v>
      </c>
      <c r="S83" s="49">
        <f t="shared" si="54"/>
        <v>186569.3</v>
      </c>
      <c r="T83" s="49">
        <f t="shared" si="54"/>
        <v>17954.900000000001</v>
      </c>
      <c r="U83" s="49">
        <f t="shared" si="54"/>
        <v>0</v>
      </c>
      <c r="V83" s="69">
        <f t="shared" si="43"/>
        <v>0</v>
      </c>
    </row>
    <row r="84" spans="1:22" ht="18.75">
      <c r="A84" s="59"/>
      <c r="B84" s="30" t="s">
        <v>17</v>
      </c>
      <c r="C84" s="31"/>
      <c r="D84" s="31"/>
      <c r="E84" s="31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69"/>
    </row>
    <row r="85" spans="1:22" ht="82.5">
      <c r="A85" s="59"/>
      <c r="B85" s="65" t="s">
        <v>71</v>
      </c>
      <c r="C85" s="31">
        <v>815</v>
      </c>
      <c r="D85" s="33" t="s">
        <v>67</v>
      </c>
      <c r="E85" s="44" t="s">
        <v>251</v>
      </c>
      <c r="F85" s="49">
        <f t="shared" ref="F85:R89" si="55">G85+H85+I85</f>
        <v>212362.3</v>
      </c>
      <c r="G85" s="53">
        <f>6370.9-101.92+101.92</f>
        <v>6370.9</v>
      </c>
      <c r="H85" s="53">
        <f>205991.4-3295.45+3295.45</f>
        <v>205991.4</v>
      </c>
      <c r="I85" s="53"/>
      <c r="J85" s="49">
        <f t="shared" si="55"/>
        <v>0</v>
      </c>
      <c r="K85" s="53"/>
      <c r="L85" s="53"/>
      <c r="M85" s="53"/>
      <c r="N85" s="49">
        <f t="shared" si="55"/>
        <v>550109.6</v>
      </c>
      <c r="O85" s="53">
        <v>16503.3</v>
      </c>
      <c r="P85" s="53">
        <v>533606.30000000005</v>
      </c>
      <c r="Q85" s="53"/>
      <c r="R85" s="49">
        <f t="shared" si="55"/>
        <v>0</v>
      </c>
      <c r="S85" s="53"/>
      <c r="T85" s="53"/>
      <c r="U85" s="53"/>
      <c r="V85" s="72">
        <f t="shared" si="43"/>
        <v>0</v>
      </c>
    </row>
    <row r="86" spans="1:22" ht="49.5">
      <c r="A86" s="59"/>
      <c r="B86" s="34" t="s">
        <v>73</v>
      </c>
      <c r="C86" s="31">
        <v>815</v>
      </c>
      <c r="D86" s="33" t="s">
        <v>67</v>
      </c>
      <c r="E86" s="44" t="s">
        <v>340</v>
      </c>
      <c r="F86" s="49">
        <f t="shared" si="55"/>
        <v>54060</v>
      </c>
      <c r="G86" s="53">
        <v>54060</v>
      </c>
      <c r="H86" s="53"/>
      <c r="I86" s="53"/>
      <c r="J86" s="49">
        <f t="shared" si="55"/>
        <v>42.7</v>
      </c>
      <c r="K86" s="53">
        <f>10.7+32.04-16.02+16.02</f>
        <v>42.7</v>
      </c>
      <c r="L86" s="53"/>
      <c r="M86" s="53"/>
      <c r="N86" s="49">
        <f t="shared" si="55"/>
        <v>111813.7</v>
      </c>
      <c r="O86" s="53">
        <v>111813.7</v>
      </c>
      <c r="P86" s="53"/>
      <c r="Q86" s="53"/>
      <c r="R86" s="49">
        <f t="shared" si="55"/>
        <v>186014</v>
      </c>
      <c r="S86" s="53">
        <v>186014</v>
      </c>
      <c r="T86" s="53"/>
      <c r="U86" s="53"/>
      <c r="V86" s="72">
        <f t="shared" si="43"/>
        <v>1E-3</v>
      </c>
    </row>
    <row r="87" spans="1:22" ht="82.5">
      <c r="A87" s="59"/>
      <c r="B87" s="65" t="s">
        <v>71</v>
      </c>
      <c r="C87" s="31">
        <v>816</v>
      </c>
      <c r="D87" s="33" t="s">
        <v>72</v>
      </c>
      <c r="E87" s="44" t="s">
        <v>251</v>
      </c>
      <c r="F87" s="49">
        <f t="shared" si="55"/>
        <v>15814.2</v>
      </c>
      <c r="G87" s="53">
        <v>474.4</v>
      </c>
      <c r="H87" s="53">
        <v>15339.8</v>
      </c>
      <c r="I87" s="53"/>
      <c r="J87" s="49">
        <f t="shared" si="55"/>
        <v>0</v>
      </c>
      <c r="K87" s="53"/>
      <c r="L87" s="53"/>
      <c r="M87" s="53"/>
      <c r="N87" s="49">
        <f t="shared" si="55"/>
        <v>51854.6</v>
      </c>
      <c r="O87" s="53">
        <v>1555.6</v>
      </c>
      <c r="P87" s="53">
        <v>50299</v>
      </c>
      <c r="Q87" s="53"/>
      <c r="R87" s="49">
        <f t="shared" si="55"/>
        <v>0</v>
      </c>
      <c r="S87" s="53"/>
      <c r="T87" s="53"/>
      <c r="U87" s="53"/>
      <c r="V87" s="72">
        <f t="shared" si="43"/>
        <v>0</v>
      </c>
    </row>
    <row r="88" spans="1:22" ht="49.5">
      <c r="A88" s="59"/>
      <c r="B88" s="34" t="s">
        <v>252</v>
      </c>
      <c r="C88" s="31">
        <v>815</v>
      </c>
      <c r="D88" s="33" t="s">
        <v>67</v>
      </c>
      <c r="E88" s="44" t="s">
        <v>253</v>
      </c>
      <c r="F88" s="49">
        <f t="shared" si="55"/>
        <v>13264.9</v>
      </c>
      <c r="G88" s="53">
        <v>398</v>
      </c>
      <c r="H88" s="53">
        <v>12866.9</v>
      </c>
      <c r="I88" s="53"/>
      <c r="J88" s="49">
        <f t="shared" si="55"/>
        <v>0</v>
      </c>
      <c r="K88" s="53"/>
      <c r="L88" s="53"/>
      <c r="M88" s="53"/>
      <c r="N88" s="49">
        <f t="shared" si="55"/>
        <v>12380.2</v>
      </c>
      <c r="O88" s="53">
        <v>371.4</v>
      </c>
      <c r="P88" s="53">
        <v>12008.8</v>
      </c>
      <c r="Q88" s="53"/>
      <c r="R88" s="49">
        <f t="shared" si="55"/>
        <v>18510.2</v>
      </c>
      <c r="S88" s="53">
        <v>555.29999999999995</v>
      </c>
      <c r="T88" s="53">
        <v>17954.900000000001</v>
      </c>
      <c r="U88" s="53"/>
      <c r="V88" s="72">
        <f t="shared" si="43"/>
        <v>0</v>
      </c>
    </row>
    <row r="89" spans="1:22" ht="66">
      <c r="A89" s="59"/>
      <c r="B89" s="34" t="s">
        <v>74</v>
      </c>
      <c r="C89" s="31">
        <v>816</v>
      </c>
      <c r="D89" s="33" t="s">
        <v>72</v>
      </c>
      <c r="E89" s="44" t="s">
        <v>358</v>
      </c>
      <c r="F89" s="49">
        <f t="shared" si="55"/>
        <v>4590</v>
      </c>
      <c r="G89" s="53">
        <v>4590</v>
      </c>
      <c r="H89" s="53"/>
      <c r="I89" s="53"/>
      <c r="J89" s="49">
        <f t="shared" si="55"/>
        <v>10</v>
      </c>
      <c r="K89" s="53">
        <v>10</v>
      </c>
      <c r="L89" s="53"/>
      <c r="M89" s="53"/>
      <c r="N89" s="49">
        <f t="shared" si="55"/>
        <v>0</v>
      </c>
      <c r="O89" s="53"/>
      <c r="P89" s="53"/>
      <c r="Q89" s="53"/>
      <c r="R89" s="49">
        <f t="shared" si="55"/>
        <v>0</v>
      </c>
      <c r="S89" s="53"/>
      <c r="T89" s="53"/>
      <c r="U89" s="53"/>
      <c r="V89" s="72">
        <f t="shared" si="43"/>
        <v>2E-3</v>
      </c>
    </row>
    <row r="90" spans="1:22" ht="33">
      <c r="A90" s="56" t="s">
        <v>75</v>
      </c>
      <c r="B90" s="15" t="s">
        <v>76</v>
      </c>
      <c r="C90" s="6" t="s">
        <v>14</v>
      </c>
      <c r="D90" s="6" t="s">
        <v>14</v>
      </c>
      <c r="E90" s="6" t="s">
        <v>14</v>
      </c>
      <c r="F90" s="51">
        <f t="shared" ref="F90:U90" si="56">SUM(F92:F100)</f>
        <v>92230</v>
      </c>
      <c r="G90" s="51">
        <f t="shared" si="56"/>
        <v>35586.699999999997</v>
      </c>
      <c r="H90" s="51">
        <f t="shared" si="56"/>
        <v>56133.3</v>
      </c>
      <c r="I90" s="51">
        <f t="shared" si="56"/>
        <v>510</v>
      </c>
      <c r="J90" s="51">
        <f t="shared" si="56"/>
        <v>6072.4</v>
      </c>
      <c r="K90" s="51">
        <f t="shared" si="56"/>
        <v>1144.5999999999999</v>
      </c>
      <c r="L90" s="51">
        <f t="shared" si="56"/>
        <v>4927.8</v>
      </c>
      <c r="M90" s="51">
        <f t="shared" si="56"/>
        <v>0</v>
      </c>
      <c r="N90" s="51">
        <f t="shared" si="56"/>
        <v>119471.2</v>
      </c>
      <c r="O90" s="51">
        <f t="shared" si="56"/>
        <v>20996.9</v>
      </c>
      <c r="P90" s="51">
        <f t="shared" si="56"/>
        <v>98474.3</v>
      </c>
      <c r="Q90" s="51">
        <f t="shared" si="56"/>
        <v>0</v>
      </c>
      <c r="R90" s="51">
        <f t="shared" si="56"/>
        <v>32279.7</v>
      </c>
      <c r="S90" s="51">
        <f t="shared" si="56"/>
        <v>18202</v>
      </c>
      <c r="T90" s="51">
        <f t="shared" si="56"/>
        <v>14077.7</v>
      </c>
      <c r="U90" s="51">
        <f t="shared" si="56"/>
        <v>0</v>
      </c>
      <c r="V90" s="70">
        <f t="shared" si="43"/>
        <v>6.6000000000000003E-2</v>
      </c>
    </row>
    <row r="91" spans="1:22" ht="18.75">
      <c r="A91" s="59"/>
      <c r="B91" s="30" t="s">
        <v>17</v>
      </c>
      <c r="C91" s="31"/>
      <c r="D91" s="31"/>
      <c r="E91" s="31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69"/>
    </row>
    <row r="92" spans="1:22" ht="148.5">
      <c r="A92" s="59"/>
      <c r="B92" s="32" t="s">
        <v>390</v>
      </c>
      <c r="C92" s="31">
        <v>815</v>
      </c>
      <c r="D92" s="33" t="s">
        <v>67</v>
      </c>
      <c r="E92" s="31" t="s">
        <v>389</v>
      </c>
      <c r="F92" s="49">
        <f>G92+H92+I92</f>
        <v>5020.5</v>
      </c>
      <c r="G92" s="49">
        <v>5020.5</v>
      </c>
      <c r="H92" s="49"/>
      <c r="I92" s="49"/>
      <c r="J92" s="49">
        <f>K92+L92+M92</f>
        <v>0</v>
      </c>
      <c r="K92" s="49"/>
      <c r="L92" s="49"/>
      <c r="M92" s="49"/>
      <c r="N92" s="49">
        <f>O92+P92+Q92</f>
        <v>0</v>
      </c>
      <c r="O92" s="49"/>
      <c r="P92" s="49"/>
      <c r="Q92" s="49"/>
      <c r="R92" s="49">
        <f>S92+T92+U92</f>
        <v>0</v>
      </c>
      <c r="S92" s="49"/>
      <c r="T92" s="49"/>
      <c r="U92" s="49"/>
      <c r="V92" s="69">
        <f t="shared" si="43"/>
        <v>0</v>
      </c>
    </row>
    <row r="93" spans="1:22" ht="66">
      <c r="A93" s="59"/>
      <c r="B93" s="34" t="s">
        <v>245</v>
      </c>
      <c r="C93" s="31">
        <v>821</v>
      </c>
      <c r="D93" s="33" t="s">
        <v>21</v>
      </c>
      <c r="E93" s="44" t="s">
        <v>246</v>
      </c>
      <c r="F93" s="49">
        <f t="shared" ref="F93:R100" si="57">G93+H93+I93</f>
        <v>13306.6</v>
      </c>
      <c r="G93" s="53">
        <v>2175.4</v>
      </c>
      <c r="H93" s="53">
        <v>10621.2</v>
      </c>
      <c r="I93" s="53">
        <v>510</v>
      </c>
      <c r="J93" s="49">
        <f t="shared" si="57"/>
        <v>0</v>
      </c>
      <c r="K93" s="53"/>
      <c r="L93" s="53"/>
      <c r="M93" s="53"/>
      <c r="N93" s="49">
        <f t="shared" si="57"/>
        <v>12796.6</v>
      </c>
      <c r="O93" s="53">
        <v>2175.4</v>
      </c>
      <c r="P93" s="53">
        <v>10621.2</v>
      </c>
      <c r="Q93" s="53"/>
      <c r="R93" s="49">
        <f t="shared" si="57"/>
        <v>16181.3</v>
      </c>
      <c r="S93" s="53">
        <v>2103.6</v>
      </c>
      <c r="T93" s="53">
        <v>14077.7</v>
      </c>
      <c r="U93" s="53"/>
      <c r="V93" s="72">
        <f t="shared" si="43"/>
        <v>0</v>
      </c>
    </row>
    <row r="94" spans="1:22" ht="82.5">
      <c r="A94" s="59"/>
      <c r="B94" s="34" t="s">
        <v>250</v>
      </c>
      <c r="C94" s="31">
        <v>815</v>
      </c>
      <c r="D94" s="33" t="s">
        <v>67</v>
      </c>
      <c r="E94" s="44" t="s">
        <v>249</v>
      </c>
      <c r="F94" s="49">
        <f t="shared" si="57"/>
        <v>31296.1</v>
      </c>
      <c r="G94" s="53">
        <f>782.2+1310.3+117.4</f>
        <v>2209.9</v>
      </c>
      <c r="H94" s="53">
        <f>25290.2+3796</f>
        <v>29086.2</v>
      </c>
      <c r="I94" s="53"/>
      <c r="J94" s="49">
        <f t="shared" si="57"/>
        <v>0</v>
      </c>
      <c r="K94" s="53"/>
      <c r="L94" s="53"/>
      <c r="M94" s="53"/>
      <c r="N94" s="49">
        <f t="shared" si="57"/>
        <v>90570.2</v>
      </c>
      <c r="O94" s="53">
        <f>2712.2+4.86</f>
        <v>2717.1</v>
      </c>
      <c r="P94" s="53">
        <f>87696+157.14</f>
        <v>87853.1</v>
      </c>
      <c r="Q94" s="53"/>
      <c r="R94" s="49">
        <f t="shared" si="57"/>
        <v>0</v>
      </c>
      <c r="S94" s="53"/>
      <c r="T94" s="53"/>
      <c r="U94" s="53"/>
      <c r="V94" s="72">
        <f t="shared" si="43"/>
        <v>0</v>
      </c>
    </row>
    <row r="95" spans="1:22" ht="49.5">
      <c r="A95" s="59"/>
      <c r="B95" s="34" t="s">
        <v>77</v>
      </c>
      <c r="C95" s="31">
        <v>815</v>
      </c>
      <c r="D95" s="33" t="s">
        <v>67</v>
      </c>
      <c r="E95" s="44" t="s">
        <v>348</v>
      </c>
      <c r="F95" s="49">
        <f t="shared" si="57"/>
        <v>70.2</v>
      </c>
      <c r="G95" s="53">
        <f>10000-9929.84</f>
        <v>70.2</v>
      </c>
      <c r="H95" s="53"/>
      <c r="I95" s="53"/>
      <c r="J95" s="49">
        <f t="shared" si="57"/>
        <v>70.2</v>
      </c>
      <c r="K95" s="53">
        <v>70.2</v>
      </c>
      <c r="L95" s="53"/>
      <c r="M95" s="53"/>
      <c r="N95" s="49">
        <f t="shared" si="57"/>
        <v>0</v>
      </c>
      <c r="O95" s="53"/>
      <c r="P95" s="53"/>
      <c r="Q95" s="53"/>
      <c r="R95" s="49">
        <f t="shared" si="57"/>
        <v>0</v>
      </c>
      <c r="S95" s="53"/>
      <c r="T95" s="53"/>
      <c r="U95" s="53"/>
      <c r="V95" s="72">
        <f t="shared" si="43"/>
        <v>1</v>
      </c>
    </row>
    <row r="96" spans="1:22" ht="82.5">
      <c r="A96" s="59"/>
      <c r="B96" s="34" t="s">
        <v>78</v>
      </c>
      <c r="C96" s="31">
        <v>815</v>
      </c>
      <c r="D96" s="33" t="s">
        <v>67</v>
      </c>
      <c r="E96" s="39" t="s">
        <v>349</v>
      </c>
      <c r="F96" s="49">
        <f t="shared" si="57"/>
        <v>4115.3</v>
      </c>
      <c r="G96" s="53">
        <f>19936.3-15821</f>
        <v>4115.3</v>
      </c>
      <c r="H96" s="53"/>
      <c r="I96" s="53"/>
      <c r="J96" s="49">
        <f t="shared" si="57"/>
        <v>922</v>
      </c>
      <c r="K96" s="53">
        <f>641.65+280.36</f>
        <v>922</v>
      </c>
      <c r="L96" s="53"/>
      <c r="M96" s="53"/>
      <c r="N96" s="49">
        <f t="shared" si="57"/>
        <v>0</v>
      </c>
      <c r="O96" s="53"/>
      <c r="P96" s="53"/>
      <c r="Q96" s="53"/>
      <c r="R96" s="49">
        <f t="shared" si="57"/>
        <v>0</v>
      </c>
      <c r="S96" s="53"/>
      <c r="T96" s="53"/>
      <c r="U96" s="53"/>
      <c r="V96" s="72">
        <f t="shared" si="43"/>
        <v>0.224</v>
      </c>
    </row>
    <row r="97" spans="1:22" ht="49.5">
      <c r="A97" s="59"/>
      <c r="B97" s="34" t="s">
        <v>79</v>
      </c>
      <c r="C97" s="31">
        <v>815</v>
      </c>
      <c r="D97" s="33" t="s">
        <v>67</v>
      </c>
      <c r="E97" s="39" t="s">
        <v>391</v>
      </c>
      <c r="F97" s="49">
        <f t="shared" si="57"/>
        <v>12000</v>
      </c>
      <c r="G97" s="53">
        <v>12000</v>
      </c>
      <c r="H97" s="53"/>
      <c r="I97" s="53"/>
      <c r="J97" s="49">
        <f t="shared" si="57"/>
        <v>0</v>
      </c>
      <c r="K97" s="53"/>
      <c r="L97" s="53"/>
      <c r="M97" s="53"/>
      <c r="N97" s="49">
        <f t="shared" si="57"/>
        <v>0</v>
      </c>
      <c r="O97" s="53"/>
      <c r="P97" s="53"/>
      <c r="Q97" s="53"/>
      <c r="R97" s="49">
        <f t="shared" si="57"/>
        <v>0</v>
      </c>
      <c r="S97" s="53"/>
      <c r="T97" s="53"/>
      <c r="U97" s="53"/>
      <c r="V97" s="72">
        <f t="shared" si="43"/>
        <v>0</v>
      </c>
    </row>
    <row r="98" spans="1:22" ht="82.5">
      <c r="A98" s="59"/>
      <c r="B98" s="34" t="s">
        <v>392</v>
      </c>
      <c r="C98" s="31">
        <v>815</v>
      </c>
      <c r="D98" s="33" t="s">
        <v>67</v>
      </c>
      <c r="E98" s="39" t="s">
        <v>393</v>
      </c>
      <c r="F98" s="49">
        <f>G98+H98+I98</f>
        <v>1910</v>
      </c>
      <c r="G98" s="53">
        <v>1910</v>
      </c>
      <c r="H98" s="53"/>
      <c r="I98" s="53"/>
      <c r="J98" s="49">
        <f>K98+L98+M98</f>
        <v>0</v>
      </c>
      <c r="K98" s="53"/>
      <c r="L98" s="53"/>
      <c r="M98" s="53"/>
      <c r="N98" s="49">
        <f>O98+P98+Q98</f>
        <v>0</v>
      </c>
      <c r="O98" s="53"/>
      <c r="P98" s="53"/>
      <c r="Q98" s="53"/>
      <c r="R98" s="49">
        <f>S98+T98+U98</f>
        <v>0</v>
      </c>
      <c r="S98" s="53"/>
      <c r="T98" s="53"/>
      <c r="U98" s="53"/>
      <c r="V98" s="72">
        <f t="shared" si="43"/>
        <v>0</v>
      </c>
    </row>
    <row r="99" spans="1:22" ht="66">
      <c r="A99" s="59"/>
      <c r="B99" s="34" t="s">
        <v>347</v>
      </c>
      <c r="C99" s="31">
        <v>815</v>
      </c>
      <c r="D99" s="33" t="s">
        <v>67</v>
      </c>
      <c r="E99" s="39" t="s">
        <v>346</v>
      </c>
      <c r="F99" s="49">
        <f t="shared" si="57"/>
        <v>0</v>
      </c>
      <c r="G99" s="53">
        <f>5020.5-5020.5</f>
        <v>0</v>
      </c>
      <c r="H99" s="53"/>
      <c r="I99" s="53"/>
      <c r="J99" s="49">
        <f t="shared" si="57"/>
        <v>0</v>
      </c>
      <c r="K99" s="53"/>
      <c r="L99" s="53"/>
      <c r="M99" s="53"/>
      <c r="N99" s="49">
        <f t="shared" si="57"/>
        <v>0</v>
      </c>
      <c r="O99" s="53"/>
      <c r="P99" s="53"/>
      <c r="Q99" s="53"/>
      <c r="R99" s="49">
        <f t="shared" si="57"/>
        <v>0</v>
      </c>
      <c r="S99" s="53"/>
      <c r="T99" s="53"/>
      <c r="U99" s="53"/>
      <c r="V99" s="72"/>
    </row>
    <row r="100" spans="1:22" ht="49.5">
      <c r="A100" s="59"/>
      <c r="B100" s="34" t="s">
        <v>248</v>
      </c>
      <c r="C100" s="31">
        <v>815</v>
      </c>
      <c r="D100" s="33" t="s">
        <v>67</v>
      </c>
      <c r="E100" s="39" t="s">
        <v>247</v>
      </c>
      <c r="F100" s="49">
        <f t="shared" si="57"/>
        <v>24511.3</v>
      </c>
      <c r="G100" s="53">
        <f>15662.4-7577</f>
        <v>8085.4</v>
      </c>
      <c r="H100" s="53">
        <v>16425.900000000001</v>
      </c>
      <c r="I100" s="53"/>
      <c r="J100" s="49">
        <f t="shared" si="57"/>
        <v>5080.2</v>
      </c>
      <c r="K100" s="53">
        <v>152.4</v>
      </c>
      <c r="L100" s="53">
        <v>4927.8</v>
      </c>
      <c r="M100" s="53"/>
      <c r="N100" s="49">
        <f t="shared" si="57"/>
        <v>16104.4</v>
      </c>
      <c r="O100" s="53">
        <v>16104.4</v>
      </c>
      <c r="P100" s="53"/>
      <c r="Q100" s="53"/>
      <c r="R100" s="49">
        <f t="shared" si="57"/>
        <v>16098.4</v>
      </c>
      <c r="S100" s="53">
        <v>16098.4</v>
      </c>
      <c r="T100" s="53"/>
      <c r="U100" s="53"/>
      <c r="V100" s="72">
        <f t="shared" si="43"/>
        <v>0.20699999999999999</v>
      </c>
    </row>
    <row r="101" spans="1:22" ht="66">
      <c r="A101" s="56" t="s">
        <v>80</v>
      </c>
      <c r="B101" s="15" t="s">
        <v>81</v>
      </c>
      <c r="C101" s="6" t="s">
        <v>14</v>
      </c>
      <c r="D101" s="6" t="s">
        <v>14</v>
      </c>
      <c r="E101" s="6" t="s">
        <v>14</v>
      </c>
      <c r="F101" s="51">
        <f>SUM(F103:F108)</f>
        <v>73452.800000000003</v>
      </c>
      <c r="G101" s="49">
        <f>SUM(G103:G108)</f>
        <v>73452.800000000003</v>
      </c>
      <c r="H101" s="49">
        <f t="shared" ref="H101" si="58">SUM(H103:H108)</f>
        <v>0</v>
      </c>
      <c r="I101" s="49">
        <f t="shared" ref="I101:U101" si="59">SUM(I103:I108)</f>
        <v>0</v>
      </c>
      <c r="J101" s="51">
        <f t="shared" si="59"/>
        <v>13596.2</v>
      </c>
      <c r="K101" s="49">
        <f t="shared" si="59"/>
        <v>13596.2</v>
      </c>
      <c r="L101" s="49">
        <f t="shared" si="59"/>
        <v>0</v>
      </c>
      <c r="M101" s="49">
        <f t="shared" si="59"/>
        <v>0</v>
      </c>
      <c r="N101" s="51">
        <f t="shared" si="59"/>
        <v>67320</v>
      </c>
      <c r="O101" s="49">
        <f t="shared" si="59"/>
        <v>67320</v>
      </c>
      <c r="P101" s="49">
        <f t="shared" si="59"/>
        <v>0</v>
      </c>
      <c r="Q101" s="49">
        <f t="shared" si="59"/>
        <v>0</v>
      </c>
      <c r="R101" s="51">
        <f t="shared" si="59"/>
        <v>67320</v>
      </c>
      <c r="S101" s="49">
        <f t="shared" si="59"/>
        <v>67320</v>
      </c>
      <c r="T101" s="49">
        <f t="shared" si="59"/>
        <v>0</v>
      </c>
      <c r="U101" s="49">
        <f t="shared" si="59"/>
        <v>0</v>
      </c>
      <c r="V101" s="69">
        <f t="shared" si="43"/>
        <v>0.185</v>
      </c>
    </row>
    <row r="102" spans="1:22" ht="18.75">
      <c r="A102" s="57"/>
      <c r="B102" s="16" t="s">
        <v>17</v>
      </c>
      <c r="C102" s="7"/>
      <c r="D102" s="7"/>
      <c r="E102" s="7"/>
      <c r="F102" s="51"/>
      <c r="G102" s="49"/>
      <c r="H102" s="49"/>
      <c r="I102" s="49"/>
      <c r="J102" s="51"/>
      <c r="K102" s="49"/>
      <c r="L102" s="49"/>
      <c r="M102" s="49"/>
      <c r="N102" s="51"/>
      <c r="O102" s="49"/>
      <c r="P102" s="49"/>
      <c r="Q102" s="49"/>
      <c r="R102" s="51"/>
      <c r="S102" s="49"/>
      <c r="T102" s="49"/>
      <c r="U102" s="49"/>
      <c r="V102" s="69"/>
    </row>
    <row r="103" spans="1:22" ht="99">
      <c r="A103" s="59"/>
      <c r="B103" s="32" t="s">
        <v>352</v>
      </c>
      <c r="C103" s="31">
        <v>816</v>
      </c>
      <c r="D103" s="33" t="s">
        <v>72</v>
      </c>
      <c r="E103" s="31" t="s">
        <v>351</v>
      </c>
      <c r="F103" s="49">
        <f t="shared" ref="F103:R108" si="60">G103+H103+I103</f>
        <v>16630</v>
      </c>
      <c r="G103" s="53">
        <v>16630</v>
      </c>
      <c r="H103" s="53"/>
      <c r="I103" s="53"/>
      <c r="J103" s="49">
        <f t="shared" si="60"/>
        <v>78.099999999999994</v>
      </c>
      <c r="K103" s="53">
        <v>78.099999999999994</v>
      </c>
      <c r="L103" s="53"/>
      <c r="M103" s="53"/>
      <c r="N103" s="49">
        <f t="shared" si="60"/>
        <v>22180</v>
      </c>
      <c r="O103" s="53">
        <v>22180</v>
      </c>
      <c r="P103" s="53"/>
      <c r="Q103" s="53"/>
      <c r="R103" s="49">
        <f t="shared" si="60"/>
        <v>22180</v>
      </c>
      <c r="S103" s="53">
        <v>22180</v>
      </c>
      <c r="T103" s="53"/>
      <c r="U103" s="53"/>
      <c r="V103" s="72">
        <f t="shared" si="43"/>
        <v>5.0000000000000001E-3</v>
      </c>
    </row>
    <row r="104" spans="1:22" ht="66">
      <c r="A104" s="59"/>
      <c r="B104" s="34" t="s">
        <v>83</v>
      </c>
      <c r="C104" s="31">
        <v>816</v>
      </c>
      <c r="D104" s="33" t="s">
        <v>72</v>
      </c>
      <c r="E104" s="44" t="s">
        <v>359</v>
      </c>
      <c r="F104" s="49">
        <f t="shared" si="60"/>
        <v>43882.8</v>
      </c>
      <c r="G104" s="53">
        <f>45240-1357.2</f>
        <v>43882.8</v>
      </c>
      <c r="H104" s="53"/>
      <c r="I104" s="53"/>
      <c r="J104" s="49">
        <f t="shared" si="60"/>
        <v>13200</v>
      </c>
      <c r="K104" s="53">
        <f>5600+3800+3800</f>
        <v>13200</v>
      </c>
      <c r="L104" s="53"/>
      <c r="M104" s="53"/>
      <c r="N104" s="49">
        <f t="shared" si="60"/>
        <v>33000</v>
      </c>
      <c r="O104" s="53">
        <v>33000</v>
      </c>
      <c r="P104" s="53"/>
      <c r="Q104" s="53"/>
      <c r="R104" s="49">
        <f t="shared" si="60"/>
        <v>33000</v>
      </c>
      <c r="S104" s="53">
        <v>33000</v>
      </c>
      <c r="T104" s="53"/>
      <c r="U104" s="53"/>
      <c r="V104" s="72">
        <f t="shared" si="43"/>
        <v>0.30099999999999999</v>
      </c>
    </row>
    <row r="105" spans="1:22" ht="99">
      <c r="A105" s="59"/>
      <c r="B105" s="34" t="s">
        <v>82</v>
      </c>
      <c r="C105" s="31">
        <v>816</v>
      </c>
      <c r="D105" s="33" t="s">
        <v>72</v>
      </c>
      <c r="E105" s="44" t="s">
        <v>353</v>
      </c>
      <c r="F105" s="49">
        <f t="shared" si="60"/>
        <v>1450</v>
      </c>
      <c r="G105" s="53">
        <v>1450</v>
      </c>
      <c r="H105" s="53"/>
      <c r="I105" s="53"/>
      <c r="J105" s="49">
        <f t="shared" si="60"/>
        <v>0</v>
      </c>
      <c r="K105" s="53"/>
      <c r="L105" s="53"/>
      <c r="M105" s="53"/>
      <c r="N105" s="49">
        <f t="shared" si="60"/>
        <v>0</v>
      </c>
      <c r="O105" s="53"/>
      <c r="P105" s="53"/>
      <c r="Q105" s="53"/>
      <c r="R105" s="49">
        <f t="shared" si="60"/>
        <v>0</v>
      </c>
      <c r="S105" s="53"/>
      <c r="T105" s="53"/>
      <c r="U105" s="53"/>
      <c r="V105" s="72">
        <f t="shared" si="43"/>
        <v>0</v>
      </c>
    </row>
    <row r="106" spans="1:22" ht="82.5">
      <c r="A106" s="59"/>
      <c r="B106" s="34" t="s">
        <v>84</v>
      </c>
      <c r="C106" s="31">
        <v>816</v>
      </c>
      <c r="D106" s="33" t="s">
        <v>72</v>
      </c>
      <c r="E106" s="44" t="s">
        <v>354</v>
      </c>
      <c r="F106" s="49">
        <f t="shared" si="60"/>
        <v>5620</v>
      </c>
      <c r="G106" s="53">
        <v>5620</v>
      </c>
      <c r="H106" s="53"/>
      <c r="I106" s="53"/>
      <c r="J106" s="49">
        <f t="shared" si="60"/>
        <v>318.10000000000002</v>
      </c>
      <c r="K106" s="53">
        <v>318.10000000000002</v>
      </c>
      <c r="L106" s="53"/>
      <c r="M106" s="53"/>
      <c r="N106" s="49">
        <f t="shared" si="60"/>
        <v>5620</v>
      </c>
      <c r="O106" s="53">
        <v>5620</v>
      </c>
      <c r="P106" s="53"/>
      <c r="Q106" s="53"/>
      <c r="R106" s="49">
        <f t="shared" si="60"/>
        <v>5620</v>
      </c>
      <c r="S106" s="53">
        <v>5620</v>
      </c>
      <c r="T106" s="53"/>
      <c r="U106" s="53"/>
      <c r="V106" s="72">
        <f t="shared" si="43"/>
        <v>5.7000000000000002E-2</v>
      </c>
    </row>
    <row r="107" spans="1:22" ht="115.5">
      <c r="A107" s="59"/>
      <c r="B107" s="34" t="s">
        <v>85</v>
      </c>
      <c r="C107" s="31">
        <v>816</v>
      </c>
      <c r="D107" s="33" t="s">
        <v>72</v>
      </c>
      <c r="E107" s="44" t="s">
        <v>350</v>
      </c>
      <c r="F107" s="49">
        <f t="shared" si="60"/>
        <v>20</v>
      </c>
      <c r="G107" s="53">
        <v>20</v>
      </c>
      <c r="H107" s="53"/>
      <c r="I107" s="53"/>
      <c r="J107" s="49">
        <f t="shared" si="60"/>
        <v>0</v>
      </c>
      <c r="K107" s="53"/>
      <c r="L107" s="53"/>
      <c r="M107" s="53"/>
      <c r="N107" s="49">
        <f t="shared" si="60"/>
        <v>20</v>
      </c>
      <c r="O107" s="53">
        <v>20</v>
      </c>
      <c r="P107" s="53"/>
      <c r="Q107" s="53"/>
      <c r="R107" s="49">
        <f t="shared" si="60"/>
        <v>20</v>
      </c>
      <c r="S107" s="53">
        <v>20</v>
      </c>
      <c r="T107" s="53"/>
      <c r="U107" s="53"/>
      <c r="V107" s="72">
        <f t="shared" si="43"/>
        <v>0</v>
      </c>
    </row>
    <row r="108" spans="1:22" ht="66">
      <c r="A108" s="59"/>
      <c r="B108" s="34" t="s">
        <v>86</v>
      </c>
      <c r="C108" s="31">
        <v>816</v>
      </c>
      <c r="D108" s="33" t="s">
        <v>72</v>
      </c>
      <c r="E108" s="44" t="s">
        <v>355</v>
      </c>
      <c r="F108" s="49">
        <f t="shared" si="60"/>
        <v>5850</v>
      </c>
      <c r="G108" s="53">
        <v>5850</v>
      </c>
      <c r="H108" s="53"/>
      <c r="I108" s="53"/>
      <c r="J108" s="49">
        <f t="shared" si="60"/>
        <v>0</v>
      </c>
      <c r="K108" s="53"/>
      <c r="L108" s="53"/>
      <c r="M108" s="53"/>
      <c r="N108" s="49">
        <f t="shared" si="60"/>
        <v>6500</v>
      </c>
      <c r="O108" s="53">
        <v>6500</v>
      </c>
      <c r="P108" s="53"/>
      <c r="Q108" s="53"/>
      <c r="R108" s="49">
        <f t="shared" si="60"/>
        <v>6500</v>
      </c>
      <c r="S108" s="53">
        <v>6500</v>
      </c>
      <c r="T108" s="53"/>
      <c r="U108" s="53"/>
      <c r="V108" s="72">
        <f t="shared" si="43"/>
        <v>0</v>
      </c>
    </row>
    <row r="109" spans="1:22" ht="33">
      <c r="A109" s="56" t="s">
        <v>87</v>
      </c>
      <c r="B109" s="15" t="s">
        <v>88</v>
      </c>
      <c r="C109" s="6" t="s">
        <v>14</v>
      </c>
      <c r="D109" s="6" t="s">
        <v>14</v>
      </c>
      <c r="E109" s="6" t="s">
        <v>14</v>
      </c>
      <c r="F109" s="51">
        <f t="shared" ref="F109:U109" si="61">F111</f>
        <v>850</v>
      </c>
      <c r="G109" s="49">
        <f t="shared" si="61"/>
        <v>850</v>
      </c>
      <c r="H109" s="49">
        <f t="shared" ref="H109" si="62">H111</f>
        <v>0</v>
      </c>
      <c r="I109" s="49">
        <f t="shared" si="61"/>
        <v>0</v>
      </c>
      <c r="J109" s="51">
        <f t="shared" si="61"/>
        <v>64.099999999999994</v>
      </c>
      <c r="K109" s="49">
        <f t="shared" si="61"/>
        <v>64.099999999999994</v>
      </c>
      <c r="L109" s="49">
        <f t="shared" si="61"/>
        <v>0</v>
      </c>
      <c r="M109" s="49">
        <f t="shared" si="61"/>
        <v>0</v>
      </c>
      <c r="N109" s="51">
        <f t="shared" si="61"/>
        <v>0</v>
      </c>
      <c r="O109" s="49">
        <f t="shared" si="61"/>
        <v>0</v>
      </c>
      <c r="P109" s="49">
        <f t="shared" si="61"/>
        <v>0</v>
      </c>
      <c r="Q109" s="49">
        <f t="shared" si="61"/>
        <v>0</v>
      </c>
      <c r="R109" s="51">
        <f t="shared" si="61"/>
        <v>0</v>
      </c>
      <c r="S109" s="49">
        <f t="shared" si="61"/>
        <v>0</v>
      </c>
      <c r="T109" s="49">
        <f t="shared" si="61"/>
        <v>0</v>
      </c>
      <c r="U109" s="49">
        <f t="shared" si="61"/>
        <v>0</v>
      </c>
      <c r="V109" s="69">
        <f t="shared" si="43"/>
        <v>7.4999999999999997E-2</v>
      </c>
    </row>
    <row r="110" spans="1:22" ht="18.75">
      <c r="A110" s="56"/>
      <c r="B110" s="18" t="s">
        <v>17</v>
      </c>
      <c r="C110" s="6"/>
      <c r="D110" s="6"/>
      <c r="E110" s="6"/>
      <c r="F110" s="51"/>
      <c r="G110" s="49"/>
      <c r="H110" s="49"/>
      <c r="I110" s="49"/>
      <c r="J110" s="51"/>
      <c r="K110" s="49"/>
      <c r="L110" s="49"/>
      <c r="M110" s="49"/>
      <c r="N110" s="51"/>
      <c r="O110" s="49"/>
      <c r="P110" s="49"/>
      <c r="Q110" s="49"/>
      <c r="R110" s="51"/>
      <c r="S110" s="49"/>
      <c r="T110" s="49"/>
      <c r="U110" s="49"/>
      <c r="V110" s="69"/>
    </row>
    <row r="111" spans="1:22" ht="49.5">
      <c r="A111" s="57"/>
      <c r="B111" s="17" t="s">
        <v>89</v>
      </c>
      <c r="C111" s="7">
        <v>815</v>
      </c>
      <c r="D111" s="8" t="s">
        <v>67</v>
      </c>
      <c r="E111" s="10" t="s">
        <v>342</v>
      </c>
      <c r="F111" s="51">
        <f t="shared" ref="F111:R111" si="63">G111+H111+I111</f>
        <v>850</v>
      </c>
      <c r="G111" s="53">
        <f>1700-850</f>
        <v>850</v>
      </c>
      <c r="H111" s="53"/>
      <c r="I111" s="53"/>
      <c r="J111" s="51">
        <f t="shared" si="63"/>
        <v>64.099999999999994</v>
      </c>
      <c r="K111" s="53">
        <f>4.1+60</f>
        <v>64.099999999999994</v>
      </c>
      <c r="L111" s="53"/>
      <c r="M111" s="53"/>
      <c r="N111" s="51">
        <f t="shared" si="63"/>
        <v>0</v>
      </c>
      <c r="O111" s="53"/>
      <c r="P111" s="53"/>
      <c r="Q111" s="53"/>
      <c r="R111" s="51">
        <f t="shared" si="63"/>
        <v>0</v>
      </c>
      <c r="S111" s="53"/>
      <c r="T111" s="53"/>
      <c r="U111" s="53"/>
      <c r="V111" s="72">
        <f t="shared" si="43"/>
        <v>7.4999999999999997E-2</v>
      </c>
    </row>
    <row r="112" spans="1:22" ht="33">
      <c r="A112" s="56" t="s">
        <v>171</v>
      </c>
      <c r="B112" s="15" t="s">
        <v>172</v>
      </c>
      <c r="C112" s="6" t="s">
        <v>14</v>
      </c>
      <c r="D112" s="6" t="s">
        <v>14</v>
      </c>
      <c r="E112" s="6" t="s">
        <v>14</v>
      </c>
      <c r="F112" s="51">
        <f t="shared" ref="F112:U112" si="64">SUM(F114)</f>
        <v>100</v>
      </c>
      <c r="G112" s="49">
        <f t="shared" si="64"/>
        <v>100</v>
      </c>
      <c r="H112" s="49">
        <f t="shared" ref="H112" si="65">SUM(H114)</f>
        <v>0</v>
      </c>
      <c r="I112" s="49">
        <f t="shared" si="64"/>
        <v>0</v>
      </c>
      <c r="J112" s="51">
        <f t="shared" si="64"/>
        <v>0</v>
      </c>
      <c r="K112" s="49">
        <f t="shared" si="64"/>
        <v>0</v>
      </c>
      <c r="L112" s="49">
        <f t="shared" si="64"/>
        <v>0</v>
      </c>
      <c r="M112" s="49">
        <f t="shared" si="64"/>
        <v>0</v>
      </c>
      <c r="N112" s="51">
        <f t="shared" si="64"/>
        <v>0</v>
      </c>
      <c r="O112" s="49">
        <f t="shared" si="64"/>
        <v>0</v>
      </c>
      <c r="P112" s="49">
        <f t="shared" si="64"/>
        <v>0</v>
      </c>
      <c r="Q112" s="49">
        <f t="shared" si="64"/>
        <v>0</v>
      </c>
      <c r="R112" s="51">
        <f t="shared" si="64"/>
        <v>0</v>
      </c>
      <c r="S112" s="49">
        <f t="shared" si="64"/>
        <v>0</v>
      </c>
      <c r="T112" s="49">
        <f t="shared" si="64"/>
        <v>0</v>
      </c>
      <c r="U112" s="49">
        <f t="shared" si="64"/>
        <v>0</v>
      </c>
      <c r="V112" s="69">
        <f t="shared" si="43"/>
        <v>0</v>
      </c>
    </row>
    <row r="113" spans="1:22" ht="18.75">
      <c r="A113" s="56"/>
      <c r="B113" s="18" t="s">
        <v>17</v>
      </c>
      <c r="C113" s="6"/>
      <c r="D113" s="6"/>
      <c r="E113" s="6"/>
      <c r="F113" s="51"/>
      <c r="G113" s="49"/>
      <c r="H113" s="49"/>
      <c r="I113" s="49"/>
      <c r="J113" s="51"/>
      <c r="K113" s="49"/>
      <c r="L113" s="49"/>
      <c r="M113" s="49"/>
      <c r="N113" s="51"/>
      <c r="O113" s="49"/>
      <c r="P113" s="49"/>
      <c r="Q113" s="49"/>
      <c r="R113" s="51"/>
      <c r="S113" s="49"/>
      <c r="T113" s="49"/>
      <c r="U113" s="49"/>
      <c r="V113" s="69"/>
    </row>
    <row r="114" spans="1:22" ht="82.5">
      <c r="A114" s="57"/>
      <c r="B114" s="17" t="s">
        <v>173</v>
      </c>
      <c r="C114" s="7">
        <v>815</v>
      </c>
      <c r="D114" s="8" t="s">
        <v>67</v>
      </c>
      <c r="E114" s="10" t="s">
        <v>341</v>
      </c>
      <c r="F114" s="51">
        <f t="shared" ref="F114:R114" si="66">G114+H114+I114</f>
        <v>100</v>
      </c>
      <c r="G114" s="53">
        <v>100</v>
      </c>
      <c r="H114" s="53"/>
      <c r="I114" s="53"/>
      <c r="J114" s="51">
        <f t="shared" si="66"/>
        <v>0</v>
      </c>
      <c r="K114" s="53"/>
      <c r="L114" s="53"/>
      <c r="M114" s="53"/>
      <c r="N114" s="51">
        <f t="shared" si="66"/>
        <v>0</v>
      </c>
      <c r="O114" s="53"/>
      <c r="P114" s="53"/>
      <c r="Q114" s="53"/>
      <c r="R114" s="51">
        <f t="shared" si="66"/>
        <v>0</v>
      </c>
      <c r="S114" s="53"/>
      <c r="T114" s="53"/>
      <c r="U114" s="53"/>
      <c r="V114" s="72">
        <f t="shared" si="43"/>
        <v>0</v>
      </c>
    </row>
    <row r="115" spans="1:22" ht="33">
      <c r="A115" s="56" t="s">
        <v>230</v>
      </c>
      <c r="B115" s="15" t="s">
        <v>229</v>
      </c>
      <c r="C115" s="6" t="s">
        <v>14</v>
      </c>
      <c r="D115" s="6" t="s">
        <v>14</v>
      </c>
      <c r="E115" s="6" t="s">
        <v>14</v>
      </c>
      <c r="F115" s="51">
        <f t="shared" ref="F115:U115" si="67">SUM(F117)</f>
        <v>8230</v>
      </c>
      <c r="G115" s="49">
        <f t="shared" si="67"/>
        <v>246.9</v>
      </c>
      <c r="H115" s="49">
        <f t="shared" ref="H115" si="68">SUM(H117)</f>
        <v>7983.1</v>
      </c>
      <c r="I115" s="49">
        <f t="shared" si="67"/>
        <v>0</v>
      </c>
      <c r="J115" s="51">
        <f t="shared" si="67"/>
        <v>1771</v>
      </c>
      <c r="K115" s="49">
        <f t="shared" si="67"/>
        <v>53.1</v>
      </c>
      <c r="L115" s="49">
        <f t="shared" si="67"/>
        <v>1717.9</v>
      </c>
      <c r="M115" s="49">
        <f t="shared" si="67"/>
        <v>0</v>
      </c>
      <c r="N115" s="51">
        <f t="shared" si="67"/>
        <v>0</v>
      </c>
      <c r="O115" s="49">
        <f t="shared" si="67"/>
        <v>0</v>
      </c>
      <c r="P115" s="49">
        <f t="shared" si="67"/>
        <v>0</v>
      </c>
      <c r="Q115" s="49">
        <f t="shared" si="67"/>
        <v>0</v>
      </c>
      <c r="R115" s="51">
        <f t="shared" si="67"/>
        <v>0</v>
      </c>
      <c r="S115" s="49">
        <f t="shared" si="67"/>
        <v>0</v>
      </c>
      <c r="T115" s="49">
        <f t="shared" si="67"/>
        <v>0</v>
      </c>
      <c r="U115" s="49">
        <f t="shared" si="67"/>
        <v>0</v>
      </c>
      <c r="V115" s="69">
        <f t="shared" si="43"/>
        <v>0.215</v>
      </c>
    </row>
    <row r="116" spans="1:22" ht="18.75">
      <c r="A116" s="56"/>
      <c r="B116" s="18" t="s">
        <v>17</v>
      </c>
      <c r="C116" s="6"/>
      <c r="D116" s="6"/>
      <c r="E116" s="6"/>
      <c r="F116" s="51"/>
      <c r="G116" s="49"/>
      <c r="H116" s="49"/>
      <c r="I116" s="49"/>
      <c r="J116" s="51"/>
      <c r="K116" s="49"/>
      <c r="L116" s="49"/>
      <c r="M116" s="49"/>
      <c r="N116" s="51"/>
      <c r="O116" s="49"/>
      <c r="P116" s="49"/>
      <c r="Q116" s="49"/>
      <c r="R116" s="51"/>
      <c r="S116" s="49"/>
      <c r="T116" s="49"/>
      <c r="U116" s="49"/>
      <c r="V116" s="69"/>
    </row>
    <row r="117" spans="1:22" ht="82.5">
      <c r="A117" s="56"/>
      <c r="B117" s="18" t="s">
        <v>231</v>
      </c>
      <c r="C117" s="7">
        <v>813</v>
      </c>
      <c r="D117" s="8" t="s">
        <v>27</v>
      </c>
      <c r="E117" s="7" t="s">
        <v>232</v>
      </c>
      <c r="F117" s="51">
        <f t="shared" ref="F117:R117" si="69">G117+H117+I117</f>
        <v>8230</v>
      </c>
      <c r="G117" s="53">
        <v>246.9</v>
      </c>
      <c r="H117" s="53">
        <v>7983.1</v>
      </c>
      <c r="I117" s="53"/>
      <c r="J117" s="51">
        <f t="shared" si="69"/>
        <v>1771</v>
      </c>
      <c r="K117" s="53">
        <v>53.1</v>
      </c>
      <c r="L117" s="53">
        <v>1717.9</v>
      </c>
      <c r="M117" s="53"/>
      <c r="N117" s="51">
        <f t="shared" si="69"/>
        <v>0</v>
      </c>
      <c r="O117" s="53"/>
      <c r="P117" s="53"/>
      <c r="Q117" s="53"/>
      <c r="R117" s="51">
        <f t="shared" si="69"/>
        <v>0</v>
      </c>
      <c r="S117" s="53"/>
      <c r="T117" s="53"/>
      <c r="U117" s="53"/>
      <c r="V117" s="72">
        <f t="shared" si="43"/>
        <v>0.215</v>
      </c>
    </row>
    <row r="118" spans="1:22" ht="33">
      <c r="A118" s="58" t="s">
        <v>90</v>
      </c>
      <c r="B118" s="22" t="s">
        <v>91</v>
      </c>
      <c r="C118" s="1" t="s">
        <v>14</v>
      </c>
      <c r="D118" s="1" t="s">
        <v>14</v>
      </c>
      <c r="E118" s="1" t="s">
        <v>14</v>
      </c>
      <c r="F118" s="48">
        <f>F120+F123+F128</f>
        <v>67695.7</v>
      </c>
      <c r="G118" s="48">
        <f t="shared" ref="G118:U118" si="70">G120+G123+G128</f>
        <v>60895.3</v>
      </c>
      <c r="H118" s="48">
        <f t="shared" si="70"/>
        <v>6800.4</v>
      </c>
      <c r="I118" s="48">
        <f t="shared" si="70"/>
        <v>0</v>
      </c>
      <c r="J118" s="48">
        <f t="shared" si="70"/>
        <v>8427.7000000000007</v>
      </c>
      <c r="K118" s="48">
        <f t="shared" si="70"/>
        <v>8427.7000000000007</v>
      </c>
      <c r="L118" s="48">
        <f t="shared" si="70"/>
        <v>0</v>
      </c>
      <c r="M118" s="48">
        <f t="shared" si="70"/>
        <v>0</v>
      </c>
      <c r="N118" s="48">
        <f t="shared" si="70"/>
        <v>29255.200000000001</v>
      </c>
      <c r="O118" s="48">
        <f t="shared" si="70"/>
        <v>25074.3</v>
      </c>
      <c r="P118" s="48">
        <f t="shared" si="70"/>
        <v>4180.8999999999996</v>
      </c>
      <c r="Q118" s="48">
        <f t="shared" si="70"/>
        <v>0</v>
      </c>
      <c r="R118" s="48">
        <f t="shared" si="70"/>
        <v>24945</v>
      </c>
      <c r="S118" s="48">
        <f t="shared" si="70"/>
        <v>24945</v>
      </c>
      <c r="T118" s="48">
        <f t="shared" si="70"/>
        <v>0</v>
      </c>
      <c r="U118" s="48">
        <f t="shared" si="70"/>
        <v>0</v>
      </c>
      <c r="V118" s="68">
        <f t="shared" si="43"/>
        <v>0.124</v>
      </c>
    </row>
    <row r="119" spans="1:22" ht="18.75">
      <c r="A119" s="43"/>
      <c r="B119" s="32" t="s">
        <v>17</v>
      </c>
      <c r="C119" s="29"/>
      <c r="D119" s="29"/>
      <c r="E119" s="2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69"/>
    </row>
    <row r="120" spans="1:22" ht="33">
      <c r="A120" s="43" t="s">
        <v>92</v>
      </c>
      <c r="B120" s="28" t="s">
        <v>94</v>
      </c>
      <c r="C120" s="29" t="s">
        <v>14</v>
      </c>
      <c r="D120" s="29" t="s">
        <v>14</v>
      </c>
      <c r="E120" s="29" t="s">
        <v>14</v>
      </c>
      <c r="F120" s="49">
        <f t="shared" ref="F120:U120" si="71">SUM(F122:F122)</f>
        <v>25000</v>
      </c>
      <c r="G120" s="49">
        <f t="shared" si="71"/>
        <v>25000</v>
      </c>
      <c r="H120" s="49">
        <f t="shared" si="71"/>
        <v>0</v>
      </c>
      <c r="I120" s="49">
        <f t="shared" si="71"/>
        <v>0</v>
      </c>
      <c r="J120" s="49">
        <f t="shared" si="71"/>
        <v>3425.5</v>
      </c>
      <c r="K120" s="49">
        <f t="shared" si="71"/>
        <v>3425.5</v>
      </c>
      <c r="L120" s="49">
        <f t="shared" si="71"/>
        <v>0</v>
      </c>
      <c r="M120" s="49">
        <f t="shared" si="71"/>
        <v>0</v>
      </c>
      <c r="N120" s="49">
        <f t="shared" si="71"/>
        <v>0</v>
      </c>
      <c r="O120" s="49">
        <f t="shared" si="71"/>
        <v>0</v>
      </c>
      <c r="P120" s="49">
        <f t="shared" si="71"/>
        <v>0</v>
      </c>
      <c r="Q120" s="49">
        <f t="shared" si="71"/>
        <v>0</v>
      </c>
      <c r="R120" s="49">
        <f t="shared" si="71"/>
        <v>0</v>
      </c>
      <c r="S120" s="49">
        <f t="shared" si="71"/>
        <v>0</v>
      </c>
      <c r="T120" s="49">
        <f t="shared" si="71"/>
        <v>0</v>
      </c>
      <c r="U120" s="49">
        <f t="shared" si="71"/>
        <v>0</v>
      </c>
      <c r="V120" s="69">
        <f t="shared" si="43"/>
        <v>0.13700000000000001</v>
      </c>
    </row>
    <row r="121" spans="1:22" ht="18.75">
      <c r="A121" s="59"/>
      <c r="B121" s="32" t="s">
        <v>17</v>
      </c>
      <c r="C121" s="31"/>
      <c r="D121" s="33"/>
      <c r="E121" s="44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69"/>
    </row>
    <row r="122" spans="1:22" ht="99">
      <c r="A122" s="59"/>
      <c r="B122" s="34" t="s">
        <v>95</v>
      </c>
      <c r="C122" s="31">
        <v>840</v>
      </c>
      <c r="D122" s="33" t="s">
        <v>96</v>
      </c>
      <c r="E122" s="44" t="s">
        <v>373</v>
      </c>
      <c r="F122" s="49">
        <f t="shared" ref="F122:R122" si="72">G122+H122+I122</f>
        <v>25000</v>
      </c>
      <c r="G122" s="53">
        <v>25000</v>
      </c>
      <c r="H122" s="53"/>
      <c r="I122" s="53"/>
      <c r="J122" s="49">
        <f t="shared" si="72"/>
        <v>3425.5</v>
      </c>
      <c r="K122" s="53">
        <f>3425.53</f>
        <v>3425.5</v>
      </c>
      <c r="L122" s="53"/>
      <c r="M122" s="53"/>
      <c r="N122" s="49">
        <f t="shared" si="72"/>
        <v>0</v>
      </c>
      <c r="O122" s="53"/>
      <c r="P122" s="53"/>
      <c r="Q122" s="53"/>
      <c r="R122" s="49">
        <f t="shared" si="72"/>
        <v>0</v>
      </c>
      <c r="S122" s="53"/>
      <c r="T122" s="53"/>
      <c r="U122" s="53"/>
      <c r="V122" s="72">
        <f t="shared" ref="V122:V181" si="73">J122/F122</f>
        <v>0.13700000000000001</v>
      </c>
    </row>
    <row r="123" spans="1:22" ht="33">
      <c r="A123" s="43" t="s">
        <v>93</v>
      </c>
      <c r="B123" s="28" t="s">
        <v>98</v>
      </c>
      <c r="C123" s="29" t="s">
        <v>14</v>
      </c>
      <c r="D123" s="29" t="s">
        <v>14</v>
      </c>
      <c r="E123" s="29" t="s">
        <v>14</v>
      </c>
      <c r="F123" s="49">
        <f t="shared" ref="F123:U123" si="74">SUM(F125:F127)</f>
        <v>3300</v>
      </c>
      <c r="G123" s="49">
        <f t="shared" si="74"/>
        <v>3300</v>
      </c>
      <c r="H123" s="49">
        <f t="shared" ref="H123" si="75">SUM(H125:H127)</f>
        <v>0</v>
      </c>
      <c r="I123" s="49">
        <f t="shared" si="74"/>
        <v>0</v>
      </c>
      <c r="J123" s="49">
        <f t="shared" si="74"/>
        <v>1270.0999999999999</v>
      </c>
      <c r="K123" s="49">
        <f t="shared" si="74"/>
        <v>1270.0999999999999</v>
      </c>
      <c r="L123" s="49">
        <f t="shared" si="74"/>
        <v>0</v>
      </c>
      <c r="M123" s="49">
        <f t="shared" si="74"/>
        <v>0</v>
      </c>
      <c r="N123" s="49">
        <f t="shared" si="74"/>
        <v>5610.2</v>
      </c>
      <c r="O123" s="49">
        <f t="shared" si="74"/>
        <v>1429.3</v>
      </c>
      <c r="P123" s="49">
        <f t="shared" si="74"/>
        <v>4180.8999999999996</v>
      </c>
      <c r="Q123" s="49">
        <f t="shared" si="74"/>
        <v>0</v>
      </c>
      <c r="R123" s="49">
        <f t="shared" si="74"/>
        <v>1300</v>
      </c>
      <c r="S123" s="49">
        <f t="shared" si="74"/>
        <v>1300</v>
      </c>
      <c r="T123" s="49">
        <f t="shared" si="74"/>
        <v>0</v>
      </c>
      <c r="U123" s="49">
        <f t="shared" si="74"/>
        <v>0</v>
      </c>
      <c r="V123" s="69">
        <f t="shared" si="73"/>
        <v>0.38500000000000001</v>
      </c>
    </row>
    <row r="124" spans="1:22" ht="18.75">
      <c r="A124" s="59"/>
      <c r="B124" s="32" t="s">
        <v>17</v>
      </c>
      <c r="C124" s="31"/>
      <c r="D124" s="33"/>
      <c r="E124" s="44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69"/>
    </row>
    <row r="125" spans="1:22" ht="66">
      <c r="A125" s="59"/>
      <c r="B125" s="34" t="s">
        <v>300</v>
      </c>
      <c r="C125" s="31">
        <v>804</v>
      </c>
      <c r="D125" s="33" t="s">
        <v>99</v>
      </c>
      <c r="E125" s="39" t="s">
        <v>299</v>
      </c>
      <c r="F125" s="49">
        <f t="shared" ref="F125:R127" si="76">G125+H125+I125</f>
        <v>1300</v>
      </c>
      <c r="G125" s="53">
        <v>1300</v>
      </c>
      <c r="H125" s="53"/>
      <c r="I125" s="53"/>
      <c r="J125" s="49">
        <f t="shared" si="76"/>
        <v>1270.0999999999999</v>
      </c>
      <c r="K125" s="53">
        <v>1270.0999999999999</v>
      </c>
      <c r="L125" s="53"/>
      <c r="M125" s="53"/>
      <c r="N125" s="49">
        <f t="shared" si="76"/>
        <v>1300</v>
      </c>
      <c r="O125" s="53">
        <v>1300</v>
      </c>
      <c r="P125" s="53"/>
      <c r="Q125" s="53"/>
      <c r="R125" s="49">
        <f t="shared" si="76"/>
        <v>1300</v>
      </c>
      <c r="S125" s="53">
        <v>1300</v>
      </c>
      <c r="T125" s="53"/>
      <c r="U125" s="53"/>
      <c r="V125" s="72">
        <f>J125/F125</f>
        <v>0.97699999999999998</v>
      </c>
    </row>
    <row r="126" spans="1:22" ht="82.5">
      <c r="A126" s="59"/>
      <c r="B126" s="34" t="s">
        <v>282</v>
      </c>
      <c r="C126" s="31">
        <v>839</v>
      </c>
      <c r="D126" s="33" t="s">
        <v>18</v>
      </c>
      <c r="E126" s="39" t="s">
        <v>283</v>
      </c>
      <c r="F126" s="49">
        <f t="shared" si="76"/>
        <v>0</v>
      </c>
      <c r="G126" s="53"/>
      <c r="H126" s="53"/>
      <c r="I126" s="53"/>
      <c r="J126" s="49">
        <f t="shared" si="76"/>
        <v>0</v>
      </c>
      <c r="K126" s="53"/>
      <c r="L126" s="53"/>
      <c r="M126" s="53"/>
      <c r="N126" s="49">
        <f t="shared" si="76"/>
        <v>4310.2</v>
      </c>
      <c r="O126" s="53">
        <v>129.30000000000001</v>
      </c>
      <c r="P126" s="53">
        <v>4180.8999999999996</v>
      </c>
      <c r="Q126" s="53"/>
      <c r="R126" s="49">
        <f t="shared" si="76"/>
        <v>0</v>
      </c>
      <c r="S126" s="53"/>
      <c r="T126" s="53"/>
      <c r="U126" s="53"/>
      <c r="V126" s="72"/>
    </row>
    <row r="127" spans="1:22" ht="82.5">
      <c r="A127" s="59"/>
      <c r="B127" s="34" t="s">
        <v>304</v>
      </c>
      <c r="C127" s="31">
        <v>804</v>
      </c>
      <c r="D127" s="33" t="s">
        <v>99</v>
      </c>
      <c r="E127" s="39" t="s">
        <v>303</v>
      </c>
      <c r="F127" s="49">
        <f t="shared" si="76"/>
        <v>2000</v>
      </c>
      <c r="G127" s="53">
        <v>2000</v>
      </c>
      <c r="H127" s="53"/>
      <c r="I127" s="53"/>
      <c r="J127" s="49">
        <f t="shared" si="76"/>
        <v>0</v>
      </c>
      <c r="K127" s="53"/>
      <c r="L127" s="53"/>
      <c r="M127" s="53"/>
      <c r="N127" s="49">
        <f t="shared" si="76"/>
        <v>0</v>
      </c>
      <c r="O127" s="53"/>
      <c r="P127" s="53"/>
      <c r="Q127" s="53"/>
      <c r="R127" s="49">
        <f t="shared" si="76"/>
        <v>0</v>
      </c>
      <c r="S127" s="53"/>
      <c r="T127" s="53"/>
      <c r="U127" s="53"/>
      <c r="V127" s="72">
        <f t="shared" si="73"/>
        <v>0</v>
      </c>
    </row>
    <row r="128" spans="1:22" ht="33">
      <c r="A128" s="56" t="s">
        <v>97</v>
      </c>
      <c r="B128" s="15" t="s">
        <v>100</v>
      </c>
      <c r="C128" s="6" t="s">
        <v>14</v>
      </c>
      <c r="D128" s="6" t="s">
        <v>14</v>
      </c>
      <c r="E128" s="6" t="s">
        <v>14</v>
      </c>
      <c r="F128" s="51">
        <f t="shared" ref="F128:U128" si="77">SUM(F130:F136)</f>
        <v>39395.699999999997</v>
      </c>
      <c r="G128" s="49">
        <f t="shared" si="77"/>
        <v>32595.3</v>
      </c>
      <c r="H128" s="49">
        <f t="shared" ref="H128" si="78">SUM(H130:H136)</f>
        <v>6800.4</v>
      </c>
      <c r="I128" s="49">
        <f t="shared" si="77"/>
        <v>0</v>
      </c>
      <c r="J128" s="51">
        <f t="shared" si="77"/>
        <v>3732.1</v>
      </c>
      <c r="K128" s="49">
        <f t="shared" si="77"/>
        <v>3732.1</v>
      </c>
      <c r="L128" s="49">
        <f t="shared" si="77"/>
        <v>0</v>
      </c>
      <c r="M128" s="49">
        <f t="shared" si="77"/>
        <v>0</v>
      </c>
      <c r="N128" s="51">
        <f t="shared" si="77"/>
        <v>23645</v>
      </c>
      <c r="O128" s="49">
        <f t="shared" si="77"/>
        <v>23645</v>
      </c>
      <c r="P128" s="49">
        <f t="shared" si="77"/>
        <v>0</v>
      </c>
      <c r="Q128" s="49">
        <f t="shared" si="77"/>
        <v>0</v>
      </c>
      <c r="R128" s="51">
        <f t="shared" si="77"/>
        <v>23645</v>
      </c>
      <c r="S128" s="49">
        <f t="shared" si="77"/>
        <v>23645</v>
      </c>
      <c r="T128" s="49">
        <f t="shared" si="77"/>
        <v>0</v>
      </c>
      <c r="U128" s="49">
        <f t="shared" si="77"/>
        <v>0</v>
      </c>
      <c r="V128" s="69">
        <f t="shared" si="73"/>
        <v>9.5000000000000001E-2</v>
      </c>
    </row>
    <row r="129" spans="1:22" ht="18.75">
      <c r="A129" s="57"/>
      <c r="B129" s="18" t="s">
        <v>17</v>
      </c>
      <c r="C129" s="7"/>
      <c r="D129" s="8"/>
      <c r="E129" s="10"/>
      <c r="F129" s="51"/>
      <c r="G129" s="49"/>
      <c r="H129" s="49"/>
      <c r="I129" s="49"/>
      <c r="J129" s="51"/>
      <c r="K129" s="49"/>
      <c r="L129" s="49"/>
      <c r="M129" s="49"/>
      <c r="N129" s="51"/>
      <c r="O129" s="49"/>
      <c r="P129" s="49"/>
      <c r="Q129" s="49"/>
      <c r="R129" s="51"/>
      <c r="S129" s="49"/>
      <c r="T129" s="49"/>
      <c r="U129" s="49"/>
      <c r="V129" s="69"/>
    </row>
    <row r="130" spans="1:22" ht="66">
      <c r="A130" s="59"/>
      <c r="B130" s="34" t="s">
        <v>101</v>
      </c>
      <c r="C130" s="31">
        <v>804</v>
      </c>
      <c r="D130" s="33" t="s">
        <v>99</v>
      </c>
      <c r="E130" s="39" t="s">
        <v>293</v>
      </c>
      <c r="F130" s="49">
        <f t="shared" ref="F130:R136" si="79">G130+H130+I130</f>
        <v>2600</v>
      </c>
      <c r="G130" s="53">
        <v>2600</v>
      </c>
      <c r="H130" s="53"/>
      <c r="I130" s="53"/>
      <c r="J130" s="49">
        <f t="shared" si="79"/>
        <v>251.6</v>
      </c>
      <c r="K130" s="53">
        <v>251.6</v>
      </c>
      <c r="L130" s="53"/>
      <c r="M130" s="53"/>
      <c r="N130" s="49">
        <f t="shared" si="79"/>
        <v>1600</v>
      </c>
      <c r="O130" s="53">
        <v>1600</v>
      </c>
      <c r="P130" s="53"/>
      <c r="Q130" s="53"/>
      <c r="R130" s="49">
        <f t="shared" si="79"/>
        <v>1600</v>
      </c>
      <c r="S130" s="53">
        <v>1600</v>
      </c>
      <c r="T130" s="53"/>
      <c r="U130" s="53"/>
      <c r="V130" s="72">
        <f t="shared" si="73"/>
        <v>9.7000000000000003E-2</v>
      </c>
    </row>
    <row r="131" spans="1:22" ht="115.5">
      <c r="A131" s="59"/>
      <c r="B131" s="34" t="s">
        <v>310</v>
      </c>
      <c r="C131" s="31">
        <v>804</v>
      </c>
      <c r="D131" s="33" t="s">
        <v>99</v>
      </c>
      <c r="E131" s="39" t="s">
        <v>309</v>
      </c>
      <c r="F131" s="49">
        <f t="shared" si="79"/>
        <v>9700</v>
      </c>
      <c r="G131" s="53">
        <v>9700</v>
      </c>
      <c r="H131" s="53"/>
      <c r="I131" s="53"/>
      <c r="J131" s="49">
        <f t="shared" si="79"/>
        <v>1179.7</v>
      </c>
      <c r="K131" s="53">
        <v>1179.7</v>
      </c>
      <c r="L131" s="53"/>
      <c r="M131" s="53"/>
      <c r="N131" s="49">
        <f t="shared" si="79"/>
        <v>9700</v>
      </c>
      <c r="O131" s="53">
        <v>9700</v>
      </c>
      <c r="P131" s="53"/>
      <c r="Q131" s="53"/>
      <c r="R131" s="49">
        <f t="shared" si="79"/>
        <v>9700</v>
      </c>
      <c r="S131" s="53">
        <v>9700</v>
      </c>
      <c r="T131" s="53"/>
      <c r="U131" s="53"/>
      <c r="V131" s="72">
        <f t="shared" si="73"/>
        <v>0.122</v>
      </c>
    </row>
    <row r="132" spans="1:22" ht="165">
      <c r="A132" s="59"/>
      <c r="B132" s="34" t="s">
        <v>102</v>
      </c>
      <c r="C132" s="31">
        <v>804</v>
      </c>
      <c r="D132" s="33" t="s">
        <v>99</v>
      </c>
      <c r="E132" s="39" t="s">
        <v>298</v>
      </c>
      <c r="F132" s="49">
        <f t="shared" si="79"/>
        <v>7819</v>
      </c>
      <c r="G132" s="53">
        <v>7819</v>
      </c>
      <c r="H132" s="53"/>
      <c r="I132" s="53"/>
      <c r="J132" s="49">
        <f t="shared" si="79"/>
        <v>0</v>
      </c>
      <c r="K132" s="53"/>
      <c r="L132" s="53"/>
      <c r="M132" s="53"/>
      <c r="N132" s="49">
        <f t="shared" si="79"/>
        <v>7819</v>
      </c>
      <c r="O132" s="53">
        <v>7819</v>
      </c>
      <c r="P132" s="53"/>
      <c r="Q132" s="53"/>
      <c r="R132" s="49">
        <f t="shared" si="79"/>
        <v>7819</v>
      </c>
      <c r="S132" s="53">
        <v>7819</v>
      </c>
      <c r="T132" s="53"/>
      <c r="U132" s="53"/>
      <c r="V132" s="72">
        <f t="shared" si="73"/>
        <v>0</v>
      </c>
    </row>
    <row r="133" spans="1:22" ht="33">
      <c r="A133" s="59"/>
      <c r="B133" s="34" t="s">
        <v>302</v>
      </c>
      <c r="C133" s="31">
        <v>804</v>
      </c>
      <c r="D133" s="33" t="s">
        <v>99</v>
      </c>
      <c r="E133" s="39" t="s">
        <v>301</v>
      </c>
      <c r="F133" s="49">
        <f t="shared" si="79"/>
        <v>3440</v>
      </c>
      <c r="G133" s="53">
        <v>3440</v>
      </c>
      <c r="H133" s="53"/>
      <c r="I133" s="53"/>
      <c r="J133" s="49">
        <f t="shared" si="79"/>
        <v>0</v>
      </c>
      <c r="K133" s="53"/>
      <c r="L133" s="53"/>
      <c r="M133" s="53"/>
      <c r="N133" s="49">
        <f t="shared" si="79"/>
        <v>0</v>
      </c>
      <c r="O133" s="53"/>
      <c r="P133" s="53"/>
      <c r="Q133" s="53"/>
      <c r="R133" s="49">
        <f t="shared" si="79"/>
        <v>0</v>
      </c>
      <c r="S133" s="53"/>
      <c r="T133" s="53"/>
      <c r="U133" s="53"/>
      <c r="V133" s="72">
        <f t="shared" si="73"/>
        <v>0</v>
      </c>
    </row>
    <row r="134" spans="1:22" ht="82.5">
      <c r="A134" s="59"/>
      <c r="B134" s="34" t="s">
        <v>170</v>
      </c>
      <c r="C134" s="31">
        <v>804</v>
      </c>
      <c r="D134" s="33" t="s">
        <v>99</v>
      </c>
      <c r="E134" s="39" t="s">
        <v>292</v>
      </c>
      <c r="F134" s="49">
        <f t="shared" si="79"/>
        <v>1630</v>
      </c>
      <c r="G134" s="53">
        <v>1630</v>
      </c>
      <c r="H134" s="53"/>
      <c r="I134" s="53"/>
      <c r="J134" s="49">
        <f t="shared" si="79"/>
        <v>0</v>
      </c>
      <c r="K134" s="53"/>
      <c r="L134" s="53"/>
      <c r="M134" s="53"/>
      <c r="N134" s="49">
        <f t="shared" si="79"/>
        <v>630</v>
      </c>
      <c r="O134" s="53">
        <v>630</v>
      </c>
      <c r="P134" s="53"/>
      <c r="Q134" s="53"/>
      <c r="R134" s="49">
        <f t="shared" si="79"/>
        <v>630</v>
      </c>
      <c r="S134" s="53">
        <v>630</v>
      </c>
      <c r="T134" s="53"/>
      <c r="U134" s="53"/>
      <c r="V134" s="72">
        <f t="shared" si="73"/>
        <v>0</v>
      </c>
    </row>
    <row r="135" spans="1:22" ht="181.5">
      <c r="A135" s="59"/>
      <c r="B135" s="34" t="s">
        <v>291</v>
      </c>
      <c r="C135" s="31">
        <v>804</v>
      </c>
      <c r="D135" s="33" t="s">
        <v>99</v>
      </c>
      <c r="E135" s="39" t="s">
        <v>290</v>
      </c>
      <c r="F135" s="49">
        <f t="shared" si="79"/>
        <v>7196</v>
      </c>
      <c r="G135" s="53">
        <v>7196</v>
      </c>
      <c r="H135" s="53"/>
      <c r="I135" s="53"/>
      <c r="J135" s="49">
        <f t="shared" si="79"/>
        <v>2300.8000000000002</v>
      </c>
      <c r="K135" s="53">
        <v>2300.8000000000002</v>
      </c>
      <c r="L135" s="53"/>
      <c r="M135" s="53"/>
      <c r="N135" s="49">
        <f t="shared" si="79"/>
        <v>3896</v>
      </c>
      <c r="O135" s="53">
        <v>3896</v>
      </c>
      <c r="P135" s="53"/>
      <c r="Q135" s="53"/>
      <c r="R135" s="49">
        <f t="shared" si="79"/>
        <v>3896</v>
      </c>
      <c r="S135" s="53">
        <v>3896</v>
      </c>
      <c r="T135" s="53"/>
      <c r="U135" s="53"/>
      <c r="V135" s="72">
        <f t="shared" si="73"/>
        <v>0.32</v>
      </c>
    </row>
    <row r="136" spans="1:22" ht="66">
      <c r="A136" s="59"/>
      <c r="B136" s="34" t="s">
        <v>285</v>
      </c>
      <c r="C136" s="31">
        <v>804</v>
      </c>
      <c r="D136" s="33" t="s">
        <v>99</v>
      </c>
      <c r="E136" s="39" t="s">
        <v>284</v>
      </c>
      <c r="F136" s="49">
        <f t="shared" si="79"/>
        <v>7010.7</v>
      </c>
      <c r="G136" s="53">
        <v>210.3</v>
      </c>
      <c r="H136" s="53">
        <v>6800.4</v>
      </c>
      <c r="I136" s="53"/>
      <c r="J136" s="49">
        <f t="shared" si="79"/>
        <v>0</v>
      </c>
      <c r="K136" s="53"/>
      <c r="L136" s="53"/>
      <c r="M136" s="53"/>
      <c r="N136" s="49">
        <f t="shared" si="79"/>
        <v>0</v>
      </c>
      <c r="O136" s="53"/>
      <c r="P136" s="53"/>
      <c r="Q136" s="53"/>
      <c r="R136" s="49">
        <f t="shared" si="79"/>
        <v>0</v>
      </c>
      <c r="S136" s="53"/>
      <c r="T136" s="53"/>
      <c r="U136" s="53"/>
      <c r="V136" s="74">
        <f t="shared" si="73"/>
        <v>0</v>
      </c>
    </row>
    <row r="137" spans="1:22" ht="33">
      <c r="A137" s="58" t="s">
        <v>103</v>
      </c>
      <c r="B137" s="22" t="s">
        <v>104</v>
      </c>
      <c r="C137" s="1" t="s">
        <v>14</v>
      </c>
      <c r="D137" s="1" t="s">
        <v>14</v>
      </c>
      <c r="E137" s="1" t="s">
        <v>14</v>
      </c>
      <c r="F137" s="48">
        <f t="shared" ref="F137:U137" si="80">F138+F142</f>
        <v>1200438.1000000001</v>
      </c>
      <c r="G137" s="48">
        <f t="shared" si="80"/>
        <v>212892.4</v>
      </c>
      <c r="H137" s="48">
        <f t="shared" ref="H137" si="81">H138+H142</f>
        <v>892443.2</v>
      </c>
      <c r="I137" s="48">
        <f t="shared" si="80"/>
        <v>95102.5</v>
      </c>
      <c r="J137" s="48">
        <f t="shared" si="80"/>
        <v>3145.3</v>
      </c>
      <c r="K137" s="48">
        <f t="shared" si="80"/>
        <v>56.7</v>
      </c>
      <c r="L137" s="48">
        <f t="shared" si="80"/>
        <v>1833.4</v>
      </c>
      <c r="M137" s="48">
        <f t="shared" si="80"/>
        <v>1255.2</v>
      </c>
      <c r="N137" s="48">
        <f t="shared" si="80"/>
        <v>890814.1</v>
      </c>
      <c r="O137" s="48">
        <f t="shared" si="80"/>
        <v>26691.1</v>
      </c>
      <c r="P137" s="48">
        <f t="shared" si="80"/>
        <v>863011</v>
      </c>
      <c r="Q137" s="48">
        <f t="shared" si="80"/>
        <v>1112</v>
      </c>
      <c r="R137" s="48">
        <f t="shared" si="80"/>
        <v>415145.5</v>
      </c>
      <c r="S137" s="48">
        <f t="shared" si="80"/>
        <v>12424</v>
      </c>
      <c r="T137" s="48">
        <f t="shared" si="80"/>
        <v>401709.5</v>
      </c>
      <c r="U137" s="48">
        <f t="shared" si="80"/>
        <v>1012</v>
      </c>
      <c r="V137" s="68">
        <f t="shared" si="73"/>
        <v>3.0000000000000001E-3</v>
      </c>
    </row>
    <row r="138" spans="1:22" ht="33">
      <c r="A138" s="56" t="s">
        <v>105</v>
      </c>
      <c r="B138" s="15" t="s">
        <v>106</v>
      </c>
      <c r="C138" s="6" t="s">
        <v>14</v>
      </c>
      <c r="D138" s="6" t="s">
        <v>14</v>
      </c>
      <c r="E138" s="6" t="s">
        <v>14</v>
      </c>
      <c r="F138" s="51">
        <f t="shared" ref="F138:U138" si="82">SUM(F140:F141)</f>
        <v>485020.1</v>
      </c>
      <c r="G138" s="49">
        <f t="shared" si="82"/>
        <v>15816.4</v>
      </c>
      <c r="H138" s="49">
        <f t="shared" ref="H138" si="83">SUM(H140:H141)</f>
        <v>412268.9</v>
      </c>
      <c r="I138" s="49">
        <f t="shared" si="82"/>
        <v>56934.8</v>
      </c>
      <c r="J138" s="51">
        <f t="shared" si="82"/>
        <v>2098.6999999999998</v>
      </c>
      <c r="K138" s="49">
        <f t="shared" si="82"/>
        <v>56.7</v>
      </c>
      <c r="L138" s="49">
        <f t="shared" si="82"/>
        <v>1833.4</v>
      </c>
      <c r="M138" s="49">
        <f t="shared" si="82"/>
        <v>208.6</v>
      </c>
      <c r="N138" s="51">
        <f t="shared" si="82"/>
        <v>398325.2</v>
      </c>
      <c r="O138" s="49">
        <f t="shared" si="82"/>
        <v>11916.4</v>
      </c>
      <c r="P138" s="49">
        <f t="shared" si="82"/>
        <v>385296.8</v>
      </c>
      <c r="Q138" s="49">
        <f t="shared" si="82"/>
        <v>1112</v>
      </c>
      <c r="R138" s="51">
        <f t="shared" si="82"/>
        <v>415145.5</v>
      </c>
      <c r="S138" s="49">
        <f t="shared" si="82"/>
        <v>12424</v>
      </c>
      <c r="T138" s="49">
        <f t="shared" si="82"/>
        <v>401709.5</v>
      </c>
      <c r="U138" s="49">
        <f t="shared" si="82"/>
        <v>1012</v>
      </c>
      <c r="V138" s="69">
        <f t="shared" si="73"/>
        <v>4.0000000000000001E-3</v>
      </c>
    </row>
    <row r="139" spans="1:22" ht="18.75">
      <c r="A139" s="57"/>
      <c r="B139" s="16" t="s">
        <v>17</v>
      </c>
      <c r="C139" s="7"/>
      <c r="D139" s="7"/>
      <c r="E139" s="7"/>
      <c r="F139" s="51"/>
      <c r="G139" s="49"/>
      <c r="H139" s="49"/>
      <c r="I139" s="49"/>
      <c r="J139" s="51"/>
      <c r="K139" s="49"/>
      <c r="L139" s="49"/>
      <c r="M139" s="49"/>
      <c r="N139" s="51"/>
      <c r="O139" s="49"/>
      <c r="P139" s="49"/>
      <c r="Q139" s="49"/>
      <c r="R139" s="51"/>
      <c r="S139" s="49"/>
      <c r="T139" s="49"/>
      <c r="U139" s="49"/>
      <c r="V139" s="69"/>
    </row>
    <row r="140" spans="1:22" ht="66">
      <c r="A140" s="57"/>
      <c r="B140" s="17" t="s">
        <v>107</v>
      </c>
      <c r="C140" s="7">
        <v>821</v>
      </c>
      <c r="D140" s="8" t="s">
        <v>21</v>
      </c>
      <c r="E140" s="7" t="s">
        <v>274</v>
      </c>
      <c r="F140" s="51">
        <f t="shared" ref="F140:R141" si="84">G140+H140+I140</f>
        <v>450461.8</v>
      </c>
      <c r="G140" s="53">
        <f>91916.4-80000</f>
        <v>11916.4</v>
      </c>
      <c r="H140" s="53">
        <v>385296.8</v>
      </c>
      <c r="I140" s="53">
        <v>53248.6</v>
      </c>
      <c r="J140" s="51">
        <f t="shared" si="84"/>
        <v>2098.6999999999998</v>
      </c>
      <c r="K140" s="53">
        <f>28.4+28.33</f>
        <v>56.7</v>
      </c>
      <c r="L140" s="53">
        <f>917.5+915.92</f>
        <v>1833.4</v>
      </c>
      <c r="M140" s="53">
        <v>208.6</v>
      </c>
      <c r="N140" s="51">
        <f t="shared" si="84"/>
        <v>398325.2</v>
      </c>
      <c r="O140" s="53">
        <v>11916.4</v>
      </c>
      <c r="P140" s="53">
        <v>385296.8</v>
      </c>
      <c r="Q140" s="53">
        <v>1112</v>
      </c>
      <c r="R140" s="51">
        <f t="shared" si="84"/>
        <v>415145.5</v>
      </c>
      <c r="S140" s="53">
        <v>12424</v>
      </c>
      <c r="T140" s="53">
        <v>401709.5</v>
      </c>
      <c r="U140" s="53">
        <v>1012</v>
      </c>
      <c r="V140" s="72">
        <f t="shared" si="73"/>
        <v>5.0000000000000001E-3</v>
      </c>
    </row>
    <row r="141" spans="1:22" ht="82.5">
      <c r="A141" s="57"/>
      <c r="B141" s="17" t="s">
        <v>108</v>
      </c>
      <c r="C141" s="7">
        <v>821</v>
      </c>
      <c r="D141" s="8" t="s">
        <v>21</v>
      </c>
      <c r="E141" s="7" t="s">
        <v>366</v>
      </c>
      <c r="F141" s="51">
        <f t="shared" si="84"/>
        <v>34558.300000000003</v>
      </c>
      <c r="G141" s="53">
        <v>3900</v>
      </c>
      <c r="H141" s="53">
        <v>26972.1</v>
      </c>
      <c r="I141" s="53">
        <v>3686.2</v>
      </c>
      <c r="J141" s="51">
        <f t="shared" si="84"/>
        <v>0</v>
      </c>
      <c r="K141" s="53"/>
      <c r="L141" s="53"/>
      <c r="M141" s="53"/>
      <c r="N141" s="51">
        <f t="shared" si="84"/>
        <v>0</v>
      </c>
      <c r="O141" s="53"/>
      <c r="P141" s="53"/>
      <c r="Q141" s="53"/>
      <c r="R141" s="51">
        <f t="shared" si="84"/>
        <v>0</v>
      </c>
      <c r="S141" s="53"/>
      <c r="T141" s="53"/>
      <c r="U141" s="53"/>
      <c r="V141" s="72">
        <f t="shared" si="73"/>
        <v>0</v>
      </c>
    </row>
    <row r="142" spans="1:22" ht="49.5">
      <c r="A142" s="56" t="s">
        <v>109</v>
      </c>
      <c r="B142" s="15" t="s">
        <v>110</v>
      </c>
      <c r="C142" s="6" t="s">
        <v>14</v>
      </c>
      <c r="D142" s="6" t="s">
        <v>14</v>
      </c>
      <c r="E142" s="6" t="s">
        <v>14</v>
      </c>
      <c r="F142" s="51">
        <f t="shared" ref="F142:U142" si="85">SUM(F144:F145)</f>
        <v>715418</v>
      </c>
      <c r="G142" s="49">
        <f t="shared" si="85"/>
        <v>197076</v>
      </c>
      <c r="H142" s="49">
        <f t="shared" ref="H142" si="86">SUM(H144:H145)</f>
        <v>480174.3</v>
      </c>
      <c r="I142" s="49">
        <f t="shared" si="85"/>
        <v>38167.699999999997</v>
      </c>
      <c r="J142" s="51">
        <f t="shared" si="85"/>
        <v>1046.5999999999999</v>
      </c>
      <c r="K142" s="49">
        <f t="shared" si="85"/>
        <v>0</v>
      </c>
      <c r="L142" s="49">
        <f t="shared" si="85"/>
        <v>0</v>
      </c>
      <c r="M142" s="49">
        <f t="shared" si="85"/>
        <v>1046.5999999999999</v>
      </c>
      <c r="N142" s="51">
        <f t="shared" si="85"/>
        <v>492488.9</v>
      </c>
      <c r="O142" s="49">
        <f t="shared" si="85"/>
        <v>14774.7</v>
      </c>
      <c r="P142" s="49">
        <f t="shared" si="85"/>
        <v>477714.2</v>
      </c>
      <c r="Q142" s="49">
        <f t="shared" si="85"/>
        <v>0</v>
      </c>
      <c r="R142" s="51">
        <f t="shared" si="85"/>
        <v>0</v>
      </c>
      <c r="S142" s="49">
        <f t="shared" si="85"/>
        <v>0</v>
      </c>
      <c r="T142" s="49">
        <f t="shared" si="85"/>
        <v>0</v>
      </c>
      <c r="U142" s="49">
        <f t="shared" si="85"/>
        <v>0</v>
      </c>
      <c r="V142" s="69">
        <f t="shared" si="73"/>
        <v>1E-3</v>
      </c>
    </row>
    <row r="143" spans="1:22" ht="18.75">
      <c r="A143" s="56"/>
      <c r="B143" s="18" t="s">
        <v>17</v>
      </c>
      <c r="C143" s="6"/>
      <c r="D143" s="6"/>
      <c r="E143" s="6"/>
      <c r="F143" s="51"/>
      <c r="G143" s="49"/>
      <c r="H143" s="49"/>
      <c r="I143" s="49"/>
      <c r="J143" s="51"/>
      <c r="K143" s="49"/>
      <c r="L143" s="49"/>
      <c r="M143" s="49"/>
      <c r="N143" s="51"/>
      <c r="O143" s="49"/>
      <c r="P143" s="49"/>
      <c r="Q143" s="49"/>
      <c r="R143" s="51"/>
      <c r="S143" s="49"/>
      <c r="T143" s="49"/>
      <c r="U143" s="49"/>
      <c r="V143" s="69"/>
    </row>
    <row r="144" spans="1:22" ht="82.5">
      <c r="A144" s="56"/>
      <c r="B144" s="17" t="s">
        <v>168</v>
      </c>
      <c r="C144" s="7">
        <v>821</v>
      </c>
      <c r="D144" s="8" t="s">
        <v>21</v>
      </c>
      <c r="E144" s="7" t="s">
        <v>275</v>
      </c>
      <c r="F144" s="51">
        <f t="shared" ref="F144:R145" si="87">G144+H144+I144</f>
        <v>518342</v>
      </c>
      <c r="G144" s="53"/>
      <c r="H144" s="53">
        <f>334399.9+145774.4</f>
        <v>480174.3</v>
      </c>
      <c r="I144" s="53">
        <v>38167.699999999997</v>
      </c>
      <c r="J144" s="51">
        <f t="shared" si="87"/>
        <v>1046.5999999999999</v>
      </c>
      <c r="K144" s="53"/>
      <c r="L144" s="53"/>
      <c r="M144" s="53">
        <v>1046.5999999999999</v>
      </c>
      <c r="N144" s="51">
        <f t="shared" si="87"/>
        <v>477714.2</v>
      </c>
      <c r="O144" s="53"/>
      <c r="P144" s="53">
        <v>477714.2</v>
      </c>
      <c r="Q144" s="53"/>
      <c r="R144" s="51">
        <f t="shared" si="87"/>
        <v>0</v>
      </c>
      <c r="S144" s="53"/>
      <c r="T144" s="53"/>
      <c r="U144" s="53"/>
      <c r="V144" s="72">
        <f t="shared" si="73"/>
        <v>2E-3</v>
      </c>
    </row>
    <row r="145" spans="1:22" ht="66">
      <c r="A145" s="57"/>
      <c r="B145" s="17" t="s">
        <v>169</v>
      </c>
      <c r="C145" s="7">
        <v>821</v>
      </c>
      <c r="D145" s="8" t="s">
        <v>21</v>
      </c>
      <c r="E145" s="7" t="s">
        <v>361</v>
      </c>
      <c r="F145" s="51">
        <f t="shared" si="87"/>
        <v>197076</v>
      </c>
      <c r="G145" s="53">
        <v>197076</v>
      </c>
      <c r="H145" s="53"/>
      <c r="I145" s="53"/>
      <c r="J145" s="51">
        <f t="shared" si="87"/>
        <v>0</v>
      </c>
      <c r="K145" s="53"/>
      <c r="L145" s="53"/>
      <c r="M145" s="53"/>
      <c r="N145" s="51">
        <f t="shared" si="87"/>
        <v>14774.7</v>
      </c>
      <c r="O145" s="53">
        <v>14774.7</v>
      </c>
      <c r="P145" s="53"/>
      <c r="Q145" s="53"/>
      <c r="R145" s="51">
        <f t="shared" si="87"/>
        <v>0</v>
      </c>
      <c r="S145" s="53"/>
      <c r="T145" s="53"/>
      <c r="U145" s="53"/>
      <c r="V145" s="72">
        <f t="shared" si="73"/>
        <v>0</v>
      </c>
    </row>
    <row r="146" spans="1:22" ht="18.75">
      <c r="A146" s="58" t="s">
        <v>111</v>
      </c>
      <c r="B146" s="21" t="s">
        <v>112</v>
      </c>
      <c r="C146" s="1" t="s">
        <v>14</v>
      </c>
      <c r="D146" s="1" t="s">
        <v>14</v>
      </c>
      <c r="E146" s="1" t="s">
        <v>14</v>
      </c>
      <c r="F146" s="48">
        <f t="shared" ref="F146:U146" si="88">F147+F152+F156+F159+F162</f>
        <v>289115.40000000002</v>
      </c>
      <c r="G146" s="48">
        <f t="shared" si="88"/>
        <v>127956.2</v>
      </c>
      <c r="H146" s="48">
        <f t="shared" si="88"/>
        <v>142432.5</v>
      </c>
      <c r="I146" s="48">
        <f t="shared" si="88"/>
        <v>18726.7</v>
      </c>
      <c r="J146" s="48">
        <f t="shared" si="88"/>
        <v>41360.6</v>
      </c>
      <c r="K146" s="48">
        <f t="shared" si="88"/>
        <v>31030.7</v>
      </c>
      <c r="L146" s="48">
        <f t="shared" si="88"/>
        <v>10329.9</v>
      </c>
      <c r="M146" s="48">
        <f t="shared" si="88"/>
        <v>0</v>
      </c>
      <c r="N146" s="48">
        <f t="shared" si="88"/>
        <v>469641</v>
      </c>
      <c r="O146" s="48">
        <f t="shared" si="88"/>
        <v>119522.8</v>
      </c>
      <c r="P146" s="48">
        <f t="shared" si="88"/>
        <v>346277</v>
      </c>
      <c r="Q146" s="48">
        <f t="shared" si="88"/>
        <v>3841.2</v>
      </c>
      <c r="R146" s="48">
        <f t="shared" si="88"/>
        <v>542259.19999999995</v>
      </c>
      <c r="S146" s="48">
        <f t="shared" si="88"/>
        <v>23811.1</v>
      </c>
      <c r="T146" s="48">
        <f t="shared" si="88"/>
        <v>514421.8</v>
      </c>
      <c r="U146" s="48">
        <f t="shared" si="88"/>
        <v>4026.3</v>
      </c>
      <c r="V146" s="68">
        <f t="shared" si="73"/>
        <v>0.14299999999999999</v>
      </c>
    </row>
    <row r="147" spans="1:22" ht="33">
      <c r="A147" s="56" t="s">
        <v>113</v>
      </c>
      <c r="B147" s="15" t="s">
        <v>114</v>
      </c>
      <c r="C147" s="6" t="s">
        <v>14</v>
      </c>
      <c r="D147" s="6" t="s">
        <v>14</v>
      </c>
      <c r="E147" s="6" t="s">
        <v>14</v>
      </c>
      <c r="F147" s="51">
        <f t="shared" ref="F147:T147" si="89">SUM(F149:F151)</f>
        <v>73174</v>
      </c>
      <c r="G147" s="49">
        <f t="shared" si="89"/>
        <v>1629.1</v>
      </c>
      <c r="H147" s="49">
        <f t="shared" si="89"/>
        <v>71544.899999999994</v>
      </c>
      <c r="I147" s="49">
        <f t="shared" si="89"/>
        <v>0</v>
      </c>
      <c r="J147" s="51">
        <f t="shared" si="89"/>
        <v>10329.9</v>
      </c>
      <c r="K147" s="49">
        <f t="shared" si="89"/>
        <v>0</v>
      </c>
      <c r="L147" s="49">
        <f t="shared" si="89"/>
        <v>10329.9</v>
      </c>
      <c r="M147" s="49">
        <f t="shared" si="89"/>
        <v>0</v>
      </c>
      <c r="N147" s="51">
        <f t="shared" si="89"/>
        <v>67450.899999999994</v>
      </c>
      <c r="O147" s="49">
        <f t="shared" si="89"/>
        <v>0</v>
      </c>
      <c r="P147" s="49">
        <f t="shared" si="89"/>
        <v>67450.899999999994</v>
      </c>
      <c r="Q147" s="49">
        <f t="shared" si="89"/>
        <v>0</v>
      </c>
      <c r="R147" s="51">
        <f t="shared" si="89"/>
        <v>56469.2</v>
      </c>
      <c r="S147" s="49">
        <f t="shared" si="89"/>
        <v>0</v>
      </c>
      <c r="T147" s="49">
        <f t="shared" si="89"/>
        <v>56469.2</v>
      </c>
      <c r="U147" s="49"/>
      <c r="V147" s="69">
        <f t="shared" si="73"/>
        <v>0.14099999999999999</v>
      </c>
    </row>
    <row r="148" spans="1:22" ht="18.75">
      <c r="A148" s="57"/>
      <c r="B148" s="16" t="s">
        <v>17</v>
      </c>
      <c r="C148" s="7"/>
      <c r="D148" s="7"/>
      <c r="E148" s="7"/>
      <c r="F148" s="51"/>
      <c r="G148" s="49"/>
      <c r="H148" s="49"/>
      <c r="I148" s="49"/>
      <c r="J148" s="51"/>
      <c r="K148" s="49"/>
      <c r="L148" s="49"/>
      <c r="M148" s="49"/>
      <c r="N148" s="51"/>
      <c r="O148" s="49"/>
      <c r="P148" s="49"/>
      <c r="Q148" s="49"/>
      <c r="R148" s="51"/>
      <c r="S148" s="49"/>
      <c r="T148" s="49"/>
      <c r="U148" s="49"/>
      <c r="V148" s="69"/>
    </row>
    <row r="149" spans="1:22" ht="49.5">
      <c r="A149" s="57"/>
      <c r="B149" s="19" t="s">
        <v>115</v>
      </c>
      <c r="C149" s="7">
        <v>838</v>
      </c>
      <c r="D149" s="8" t="s">
        <v>116</v>
      </c>
      <c r="E149" s="7" t="s">
        <v>277</v>
      </c>
      <c r="F149" s="51">
        <f t="shared" ref="F149:N151" si="90">G149+H149+I149</f>
        <v>18806.099999999999</v>
      </c>
      <c r="G149" s="53"/>
      <c r="H149" s="53">
        <v>18806.099999999999</v>
      </c>
      <c r="I149" s="53"/>
      <c r="J149" s="51">
        <f t="shared" si="90"/>
        <v>3663.8</v>
      </c>
      <c r="K149" s="53"/>
      <c r="L149" s="53">
        <v>3663.8</v>
      </c>
      <c r="M149" s="53"/>
      <c r="N149" s="51">
        <f t="shared" si="90"/>
        <v>22416.9</v>
      </c>
      <c r="O149" s="53"/>
      <c r="P149" s="53">
        <v>22416.9</v>
      </c>
      <c r="Q149" s="53"/>
      <c r="R149" s="51">
        <f t="shared" ref="R149:R151" si="91">S149+T149+U149</f>
        <v>23169.200000000001</v>
      </c>
      <c r="S149" s="53"/>
      <c r="T149" s="53">
        <v>23169.200000000001</v>
      </c>
      <c r="U149" s="53"/>
      <c r="V149" s="72">
        <f t="shared" si="73"/>
        <v>0.19500000000000001</v>
      </c>
    </row>
    <row r="150" spans="1:22" ht="99">
      <c r="A150" s="57"/>
      <c r="B150" s="17" t="s">
        <v>117</v>
      </c>
      <c r="C150" s="7">
        <v>838</v>
      </c>
      <c r="D150" s="8" t="s">
        <v>116</v>
      </c>
      <c r="E150" s="7" t="s">
        <v>278</v>
      </c>
      <c r="F150" s="51">
        <f t="shared" si="90"/>
        <v>11527.8</v>
      </c>
      <c r="G150" s="53">
        <v>344.2</v>
      </c>
      <c r="H150" s="53">
        <f>11130.7+52.9</f>
        <v>11183.6</v>
      </c>
      <c r="I150" s="53"/>
      <c r="J150" s="51">
        <f t="shared" si="90"/>
        <v>0</v>
      </c>
      <c r="K150" s="53"/>
      <c r="L150" s="53"/>
      <c r="M150" s="53"/>
      <c r="N150" s="51">
        <f t="shared" si="90"/>
        <v>12584.7</v>
      </c>
      <c r="O150" s="53"/>
      <c r="P150" s="53">
        <v>12584.7</v>
      </c>
      <c r="Q150" s="53"/>
      <c r="R150" s="51">
        <f t="shared" si="91"/>
        <v>6782.7</v>
      </c>
      <c r="S150" s="53"/>
      <c r="T150" s="53">
        <v>6782.7</v>
      </c>
      <c r="U150" s="53"/>
      <c r="V150" s="72">
        <f t="shared" si="73"/>
        <v>0</v>
      </c>
    </row>
    <row r="151" spans="1:22" ht="99">
      <c r="A151" s="57"/>
      <c r="B151" s="17" t="s">
        <v>118</v>
      </c>
      <c r="C151" s="7">
        <v>838</v>
      </c>
      <c r="D151" s="8" t="s">
        <v>116</v>
      </c>
      <c r="E151" s="7" t="s">
        <v>279</v>
      </c>
      <c r="F151" s="51">
        <f t="shared" si="90"/>
        <v>42840.1</v>
      </c>
      <c r="G151" s="53">
        <v>1284.9000000000001</v>
      </c>
      <c r="H151" s="53">
        <f>41545.2+10</f>
        <v>41555.199999999997</v>
      </c>
      <c r="I151" s="53"/>
      <c r="J151" s="51">
        <f t="shared" si="90"/>
        <v>6666.1</v>
      </c>
      <c r="K151" s="53"/>
      <c r="L151" s="53">
        <v>6666.1</v>
      </c>
      <c r="M151" s="53"/>
      <c r="N151" s="51">
        <f t="shared" si="90"/>
        <v>32449.3</v>
      </c>
      <c r="O151" s="53"/>
      <c r="P151" s="53">
        <v>32449.3</v>
      </c>
      <c r="Q151" s="53"/>
      <c r="R151" s="51">
        <f t="shared" si="91"/>
        <v>26517.3</v>
      </c>
      <c r="S151" s="53"/>
      <c r="T151" s="53">
        <v>26517.3</v>
      </c>
      <c r="U151" s="53"/>
      <c r="V151" s="72">
        <f t="shared" si="73"/>
        <v>0.156</v>
      </c>
    </row>
    <row r="152" spans="1:22" ht="33">
      <c r="A152" s="56" t="s">
        <v>119</v>
      </c>
      <c r="B152" s="15" t="s">
        <v>120</v>
      </c>
      <c r="C152" s="6" t="s">
        <v>14</v>
      </c>
      <c r="D152" s="6" t="s">
        <v>14</v>
      </c>
      <c r="E152" s="6" t="s">
        <v>14</v>
      </c>
      <c r="F152" s="51">
        <f t="shared" ref="F152:U152" si="92">F154+F155</f>
        <v>117549.1</v>
      </c>
      <c r="G152" s="49">
        <f t="shared" si="92"/>
        <v>95537</v>
      </c>
      <c r="H152" s="49">
        <f t="shared" si="92"/>
        <v>8944.7000000000007</v>
      </c>
      <c r="I152" s="49">
        <f t="shared" si="92"/>
        <v>13067.4</v>
      </c>
      <c r="J152" s="51">
        <f t="shared" si="92"/>
        <v>21030.7</v>
      </c>
      <c r="K152" s="49">
        <f t="shared" si="92"/>
        <v>21030.7</v>
      </c>
      <c r="L152" s="49">
        <f t="shared" si="92"/>
        <v>0</v>
      </c>
      <c r="M152" s="49">
        <f t="shared" si="92"/>
        <v>0</v>
      </c>
      <c r="N152" s="51">
        <f t="shared" si="92"/>
        <v>280227.09999999998</v>
      </c>
      <c r="O152" s="49">
        <f t="shared" si="92"/>
        <v>106237.1</v>
      </c>
      <c r="P152" s="49">
        <f t="shared" si="92"/>
        <v>173990</v>
      </c>
      <c r="Q152" s="49">
        <f t="shared" si="92"/>
        <v>0</v>
      </c>
      <c r="R152" s="51">
        <f t="shared" si="92"/>
        <v>254146.3</v>
      </c>
      <c r="S152" s="49">
        <f t="shared" si="92"/>
        <v>7625</v>
      </c>
      <c r="T152" s="49">
        <f t="shared" si="92"/>
        <v>246521.3</v>
      </c>
      <c r="U152" s="49">
        <f t="shared" si="92"/>
        <v>0</v>
      </c>
      <c r="V152" s="69">
        <f t="shared" si="73"/>
        <v>0.17899999999999999</v>
      </c>
    </row>
    <row r="153" spans="1:22" ht="18.75">
      <c r="A153" s="57"/>
      <c r="B153" s="16" t="s">
        <v>17</v>
      </c>
      <c r="C153" s="7"/>
      <c r="D153" s="7"/>
      <c r="E153" s="7"/>
      <c r="F153" s="51"/>
      <c r="G153" s="49"/>
      <c r="H153" s="49"/>
      <c r="I153" s="49"/>
      <c r="J153" s="51"/>
      <c r="K153" s="49"/>
      <c r="L153" s="49"/>
      <c r="M153" s="49"/>
      <c r="N153" s="51"/>
      <c r="O153" s="49"/>
      <c r="P153" s="49"/>
      <c r="Q153" s="49"/>
      <c r="R153" s="51"/>
      <c r="S153" s="49"/>
      <c r="T153" s="49"/>
      <c r="U153" s="49"/>
      <c r="V153" s="69" t="e">
        <f t="shared" si="73"/>
        <v>#DIV/0!</v>
      </c>
    </row>
    <row r="154" spans="1:22" ht="66">
      <c r="A154" s="57"/>
      <c r="B154" s="17" t="s">
        <v>121</v>
      </c>
      <c r="C154" s="7">
        <v>828</v>
      </c>
      <c r="D154" s="8" t="s">
        <v>122</v>
      </c>
      <c r="E154" s="7" t="s">
        <v>281</v>
      </c>
      <c r="F154" s="51">
        <f t="shared" ref="F154:R155" si="93">G154+H154+I154</f>
        <v>72049.100000000006</v>
      </c>
      <c r="G154" s="53">
        <v>50037</v>
      </c>
      <c r="H154" s="53">
        <v>8944.7000000000007</v>
      </c>
      <c r="I154" s="53">
        <v>13067.4</v>
      </c>
      <c r="J154" s="51">
        <f t="shared" si="93"/>
        <v>0</v>
      </c>
      <c r="K154" s="53"/>
      <c r="L154" s="53"/>
      <c r="M154" s="53"/>
      <c r="N154" s="51">
        <f t="shared" si="93"/>
        <v>280227.09999999998</v>
      </c>
      <c r="O154" s="53">
        <v>106237.1</v>
      </c>
      <c r="P154" s="53">
        <v>173990</v>
      </c>
      <c r="Q154" s="53"/>
      <c r="R154" s="51">
        <f t="shared" si="93"/>
        <v>254146.3</v>
      </c>
      <c r="S154" s="53">
        <v>7625</v>
      </c>
      <c r="T154" s="53">
        <v>246521.3</v>
      </c>
      <c r="U154" s="53"/>
      <c r="V154" s="72">
        <f t="shared" si="73"/>
        <v>0</v>
      </c>
    </row>
    <row r="155" spans="1:22" ht="82.5">
      <c r="A155" s="57"/>
      <c r="B155" s="17" t="s">
        <v>372</v>
      </c>
      <c r="C155" s="7">
        <v>828</v>
      </c>
      <c r="D155" s="8" t="s">
        <v>122</v>
      </c>
      <c r="E155" s="7" t="s">
        <v>371</v>
      </c>
      <c r="F155" s="51">
        <f t="shared" si="93"/>
        <v>45500</v>
      </c>
      <c r="G155" s="53">
        <f>80000-34500</f>
        <v>45500</v>
      </c>
      <c r="H155" s="53"/>
      <c r="I155" s="53"/>
      <c r="J155" s="51">
        <f t="shared" si="93"/>
        <v>21030.7</v>
      </c>
      <c r="K155" s="53">
        <v>21030.7</v>
      </c>
      <c r="L155" s="53"/>
      <c r="M155" s="53"/>
      <c r="N155" s="51">
        <f t="shared" si="93"/>
        <v>0</v>
      </c>
      <c r="O155" s="53"/>
      <c r="P155" s="53"/>
      <c r="Q155" s="53"/>
      <c r="R155" s="51">
        <f t="shared" si="93"/>
        <v>0</v>
      </c>
      <c r="S155" s="53"/>
      <c r="T155" s="53"/>
      <c r="U155" s="53"/>
      <c r="V155" s="72">
        <f t="shared" si="73"/>
        <v>0.46200000000000002</v>
      </c>
    </row>
    <row r="156" spans="1:22" ht="72" customHeight="1">
      <c r="A156" s="56" t="s">
        <v>123</v>
      </c>
      <c r="B156" s="15" t="s">
        <v>124</v>
      </c>
      <c r="C156" s="6" t="s">
        <v>14</v>
      </c>
      <c r="D156" s="6" t="s">
        <v>14</v>
      </c>
      <c r="E156" s="6" t="s">
        <v>14</v>
      </c>
      <c r="F156" s="51">
        <f t="shared" ref="F156:T156" si="94">F158</f>
        <v>20087.5</v>
      </c>
      <c r="G156" s="49">
        <f t="shared" si="94"/>
        <v>17600</v>
      </c>
      <c r="H156" s="49">
        <f t="shared" si="94"/>
        <v>0</v>
      </c>
      <c r="I156" s="49">
        <f t="shared" si="94"/>
        <v>2487.5</v>
      </c>
      <c r="J156" s="51">
        <f t="shared" si="94"/>
        <v>10000</v>
      </c>
      <c r="K156" s="49">
        <f t="shared" si="94"/>
        <v>10000</v>
      </c>
      <c r="L156" s="49">
        <f t="shared" si="94"/>
        <v>0</v>
      </c>
      <c r="M156" s="49">
        <f t="shared" si="94"/>
        <v>0</v>
      </c>
      <c r="N156" s="51">
        <f t="shared" si="94"/>
        <v>0</v>
      </c>
      <c r="O156" s="49">
        <f t="shared" si="94"/>
        <v>0</v>
      </c>
      <c r="P156" s="49">
        <f t="shared" si="94"/>
        <v>0</v>
      </c>
      <c r="Q156" s="49">
        <f t="shared" si="94"/>
        <v>0</v>
      </c>
      <c r="R156" s="51">
        <f t="shared" si="94"/>
        <v>0</v>
      </c>
      <c r="S156" s="49">
        <f t="shared" si="94"/>
        <v>0</v>
      </c>
      <c r="T156" s="49">
        <f t="shared" si="94"/>
        <v>0</v>
      </c>
      <c r="U156" s="49">
        <f>U158</f>
        <v>0</v>
      </c>
      <c r="V156" s="69">
        <f t="shared" si="73"/>
        <v>0.498</v>
      </c>
    </row>
    <row r="157" spans="1:22" ht="18.75">
      <c r="A157" s="57"/>
      <c r="B157" s="16" t="s">
        <v>17</v>
      </c>
      <c r="C157" s="7"/>
      <c r="D157" s="7"/>
      <c r="E157" s="7"/>
      <c r="F157" s="51"/>
      <c r="G157" s="49"/>
      <c r="H157" s="49"/>
      <c r="I157" s="49"/>
      <c r="J157" s="51"/>
      <c r="K157" s="49"/>
      <c r="L157" s="49"/>
      <c r="M157" s="49"/>
      <c r="N157" s="51"/>
      <c r="O157" s="49"/>
      <c r="P157" s="49"/>
      <c r="Q157" s="49"/>
      <c r="R157" s="51"/>
      <c r="S157" s="49"/>
      <c r="T157" s="49"/>
      <c r="U157" s="49"/>
      <c r="V157" s="69"/>
    </row>
    <row r="158" spans="1:22" ht="99">
      <c r="A158" s="57"/>
      <c r="B158" s="17" t="s">
        <v>125</v>
      </c>
      <c r="C158" s="7">
        <v>810</v>
      </c>
      <c r="D158" s="8" t="s">
        <v>126</v>
      </c>
      <c r="E158" s="7" t="s">
        <v>314</v>
      </c>
      <c r="F158" s="51">
        <f t="shared" ref="F158:R158" si="95">G158+H158+I158</f>
        <v>20087.5</v>
      </c>
      <c r="G158" s="53">
        <f>10000+10000-2400</f>
        <v>17600</v>
      </c>
      <c r="H158" s="53"/>
      <c r="I158" s="53">
        <v>2487.5</v>
      </c>
      <c r="J158" s="51">
        <f t="shared" si="95"/>
        <v>10000</v>
      </c>
      <c r="K158" s="53">
        <v>10000</v>
      </c>
      <c r="L158" s="53"/>
      <c r="M158" s="53"/>
      <c r="N158" s="51">
        <f t="shared" si="95"/>
        <v>0</v>
      </c>
      <c r="O158" s="53"/>
      <c r="P158" s="53"/>
      <c r="Q158" s="53"/>
      <c r="R158" s="51">
        <f t="shared" si="95"/>
        <v>0</v>
      </c>
      <c r="S158" s="53"/>
      <c r="T158" s="53"/>
      <c r="U158" s="53"/>
      <c r="V158" s="72">
        <f t="shared" si="73"/>
        <v>0.498</v>
      </c>
    </row>
    <row r="159" spans="1:22" ht="33">
      <c r="A159" s="56" t="s">
        <v>127</v>
      </c>
      <c r="B159" s="15" t="s">
        <v>128</v>
      </c>
      <c r="C159" s="6" t="s">
        <v>14</v>
      </c>
      <c r="D159" s="6" t="s">
        <v>14</v>
      </c>
      <c r="E159" s="6" t="s">
        <v>14</v>
      </c>
      <c r="F159" s="51">
        <f t="shared" ref="F159:U159" si="96">F161</f>
        <v>3674.8</v>
      </c>
      <c r="G159" s="49">
        <f t="shared" si="96"/>
        <v>3674.8</v>
      </c>
      <c r="H159" s="49">
        <f t="shared" si="96"/>
        <v>0</v>
      </c>
      <c r="I159" s="49">
        <f t="shared" si="96"/>
        <v>0</v>
      </c>
      <c r="J159" s="51">
        <f t="shared" si="96"/>
        <v>0</v>
      </c>
      <c r="K159" s="49">
        <f t="shared" si="96"/>
        <v>0</v>
      </c>
      <c r="L159" s="49">
        <f t="shared" si="96"/>
        <v>0</v>
      </c>
      <c r="M159" s="49">
        <f t="shared" si="96"/>
        <v>0</v>
      </c>
      <c r="N159" s="51">
        <f t="shared" si="96"/>
        <v>31582.2</v>
      </c>
      <c r="O159" s="49">
        <f t="shared" si="96"/>
        <v>1762.2</v>
      </c>
      <c r="P159" s="49">
        <f t="shared" si="96"/>
        <v>29820</v>
      </c>
      <c r="Q159" s="49">
        <f t="shared" si="96"/>
        <v>0</v>
      </c>
      <c r="R159" s="51">
        <f t="shared" si="96"/>
        <v>136907.20000000001</v>
      </c>
      <c r="S159" s="49">
        <f t="shared" si="96"/>
        <v>4107.2</v>
      </c>
      <c r="T159" s="49">
        <f t="shared" si="96"/>
        <v>132800</v>
      </c>
      <c r="U159" s="49">
        <f t="shared" si="96"/>
        <v>0</v>
      </c>
      <c r="V159" s="69">
        <f t="shared" si="73"/>
        <v>0</v>
      </c>
    </row>
    <row r="160" spans="1:22" ht="24" customHeight="1">
      <c r="A160" s="57"/>
      <c r="B160" s="16" t="s">
        <v>17</v>
      </c>
      <c r="C160" s="7"/>
      <c r="D160" s="7"/>
      <c r="E160" s="7"/>
      <c r="F160" s="51"/>
      <c r="G160" s="49"/>
      <c r="H160" s="49"/>
      <c r="I160" s="49"/>
      <c r="J160" s="51"/>
      <c r="K160" s="49"/>
      <c r="L160" s="49"/>
      <c r="M160" s="49"/>
      <c r="N160" s="51"/>
      <c r="O160" s="49"/>
      <c r="P160" s="49"/>
      <c r="Q160" s="49"/>
      <c r="R160" s="51"/>
      <c r="S160" s="49"/>
      <c r="T160" s="49"/>
      <c r="U160" s="49"/>
      <c r="V160" s="69"/>
    </row>
    <row r="161" spans="1:22" ht="82.5">
      <c r="A161" s="57"/>
      <c r="B161" s="17" t="s">
        <v>129</v>
      </c>
      <c r="C161" s="7">
        <v>810</v>
      </c>
      <c r="D161" s="8" t="s">
        <v>126</v>
      </c>
      <c r="E161" s="7" t="s">
        <v>276</v>
      </c>
      <c r="F161" s="51">
        <f t="shared" ref="F161:N161" si="97">G161+H161+I161</f>
        <v>3674.8</v>
      </c>
      <c r="G161" s="53">
        <f>4762.2-1087.4</f>
        <v>3674.8</v>
      </c>
      <c r="H161" s="53"/>
      <c r="I161" s="53"/>
      <c r="J161" s="51">
        <f t="shared" si="97"/>
        <v>0</v>
      </c>
      <c r="K161" s="53"/>
      <c r="L161" s="53"/>
      <c r="M161" s="53"/>
      <c r="N161" s="51">
        <f t="shared" si="97"/>
        <v>31582.2</v>
      </c>
      <c r="O161" s="53">
        <v>1762.2</v>
      </c>
      <c r="P161" s="53">
        <v>29820</v>
      </c>
      <c r="Q161" s="53"/>
      <c r="R161" s="54">
        <f>S161+T161+U161</f>
        <v>136907.20000000001</v>
      </c>
      <c r="S161" s="53">
        <v>4107.2</v>
      </c>
      <c r="T161" s="53">
        <v>132800</v>
      </c>
      <c r="U161" s="53"/>
      <c r="V161" s="72">
        <f t="shared" si="73"/>
        <v>0</v>
      </c>
    </row>
    <row r="162" spans="1:22" ht="18.75">
      <c r="A162" s="56" t="s">
        <v>286</v>
      </c>
      <c r="B162" s="15" t="s">
        <v>287</v>
      </c>
      <c r="C162" s="6" t="s">
        <v>14</v>
      </c>
      <c r="D162" s="25" t="s">
        <v>14</v>
      </c>
      <c r="E162" s="6" t="s">
        <v>14</v>
      </c>
      <c r="F162" s="51">
        <f t="shared" ref="F162:U162" si="98">F164</f>
        <v>74630</v>
      </c>
      <c r="G162" s="49">
        <f t="shared" si="98"/>
        <v>9515.2999999999993</v>
      </c>
      <c r="H162" s="49">
        <f t="shared" si="98"/>
        <v>61942.9</v>
      </c>
      <c r="I162" s="49">
        <f t="shared" si="98"/>
        <v>3171.8</v>
      </c>
      <c r="J162" s="51">
        <f t="shared" si="98"/>
        <v>0</v>
      </c>
      <c r="K162" s="49">
        <f t="shared" si="98"/>
        <v>0</v>
      </c>
      <c r="L162" s="49">
        <f t="shared" si="98"/>
        <v>0</v>
      </c>
      <c r="M162" s="49">
        <f t="shared" si="98"/>
        <v>0</v>
      </c>
      <c r="N162" s="51">
        <f t="shared" si="98"/>
        <v>90380.800000000003</v>
      </c>
      <c r="O162" s="49">
        <f t="shared" si="98"/>
        <v>11523.5</v>
      </c>
      <c r="P162" s="49">
        <f t="shared" si="98"/>
        <v>75016.100000000006</v>
      </c>
      <c r="Q162" s="49">
        <f t="shared" si="98"/>
        <v>3841.2</v>
      </c>
      <c r="R162" s="51">
        <f t="shared" si="98"/>
        <v>94736.5</v>
      </c>
      <c r="S162" s="49">
        <f t="shared" si="98"/>
        <v>12078.9</v>
      </c>
      <c r="T162" s="49">
        <f t="shared" si="98"/>
        <v>78631.3</v>
      </c>
      <c r="U162" s="49">
        <f t="shared" si="98"/>
        <v>4026.3</v>
      </c>
      <c r="V162" s="69">
        <f t="shared" si="73"/>
        <v>0</v>
      </c>
    </row>
    <row r="163" spans="1:22" ht="18.75">
      <c r="A163" s="57"/>
      <c r="B163" s="16" t="s">
        <v>17</v>
      </c>
      <c r="C163" s="7"/>
      <c r="D163" s="8"/>
      <c r="E163" s="7"/>
      <c r="F163" s="51"/>
      <c r="G163" s="49"/>
      <c r="H163" s="49"/>
      <c r="I163" s="49"/>
      <c r="J163" s="51"/>
      <c r="K163" s="49"/>
      <c r="L163" s="49"/>
      <c r="M163" s="49"/>
      <c r="N163" s="51"/>
      <c r="O163" s="49"/>
      <c r="P163" s="49"/>
      <c r="Q163" s="49"/>
      <c r="R163" s="51"/>
      <c r="S163" s="49"/>
      <c r="T163" s="49"/>
      <c r="U163" s="49"/>
      <c r="V163" s="69"/>
    </row>
    <row r="164" spans="1:22" ht="82.5">
      <c r="A164" s="57"/>
      <c r="B164" s="17" t="s">
        <v>289</v>
      </c>
      <c r="C164" s="7">
        <v>810</v>
      </c>
      <c r="D164" s="8" t="s">
        <v>126</v>
      </c>
      <c r="E164" s="7" t="s">
        <v>288</v>
      </c>
      <c r="F164" s="51">
        <f t="shared" ref="F164:R164" si="99">G164+H164+I164</f>
        <v>74630</v>
      </c>
      <c r="G164" s="53">
        <v>9515.2999999999993</v>
      </c>
      <c r="H164" s="53">
        <v>61942.9</v>
      </c>
      <c r="I164" s="53">
        <v>3171.8</v>
      </c>
      <c r="J164" s="51">
        <f t="shared" si="99"/>
        <v>0</v>
      </c>
      <c r="K164" s="53"/>
      <c r="L164" s="53"/>
      <c r="M164" s="53"/>
      <c r="N164" s="51">
        <f t="shared" si="99"/>
        <v>90380.800000000003</v>
      </c>
      <c r="O164" s="53">
        <v>11523.5</v>
      </c>
      <c r="P164" s="53">
        <v>75016.100000000006</v>
      </c>
      <c r="Q164" s="53">
        <v>3841.2</v>
      </c>
      <c r="R164" s="51">
        <f t="shared" si="99"/>
        <v>94736.5</v>
      </c>
      <c r="S164" s="53">
        <v>12078.9</v>
      </c>
      <c r="T164" s="53">
        <v>78631.3</v>
      </c>
      <c r="U164" s="53">
        <v>4026.3</v>
      </c>
      <c r="V164" s="72">
        <f t="shared" si="73"/>
        <v>0</v>
      </c>
    </row>
    <row r="165" spans="1:22" ht="33">
      <c r="A165" s="58" t="s">
        <v>130</v>
      </c>
      <c r="B165" s="22" t="s">
        <v>131</v>
      </c>
      <c r="C165" s="1" t="s">
        <v>14</v>
      </c>
      <c r="D165" s="1" t="s">
        <v>14</v>
      </c>
      <c r="E165" s="1" t="s">
        <v>14</v>
      </c>
      <c r="F165" s="48">
        <f t="shared" ref="F165:U165" si="100">F166+F173</f>
        <v>3631343.3</v>
      </c>
      <c r="G165" s="48">
        <f t="shared" si="100"/>
        <v>2232643.2999999998</v>
      </c>
      <c r="H165" s="48">
        <f t="shared" si="100"/>
        <v>1130000</v>
      </c>
      <c r="I165" s="48">
        <f t="shared" si="100"/>
        <v>268700</v>
      </c>
      <c r="J165" s="48">
        <f t="shared" si="100"/>
        <v>643950.5</v>
      </c>
      <c r="K165" s="48">
        <f t="shared" si="100"/>
        <v>520797.8</v>
      </c>
      <c r="L165" s="48">
        <f t="shared" si="100"/>
        <v>87000</v>
      </c>
      <c r="M165" s="48">
        <f t="shared" si="100"/>
        <v>36152.699999999997</v>
      </c>
      <c r="N165" s="48">
        <f t="shared" si="100"/>
        <v>4688413.0999999996</v>
      </c>
      <c r="O165" s="48">
        <f t="shared" si="100"/>
        <v>3499622.5</v>
      </c>
      <c r="P165" s="48">
        <f t="shared" si="100"/>
        <v>800000</v>
      </c>
      <c r="Q165" s="48">
        <f t="shared" si="100"/>
        <v>388790.6</v>
      </c>
      <c r="R165" s="48">
        <f t="shared" si="100"/>
        <v>4588687.4000000004</v>
      </c>
      <c r="S165" s="48">
        <f t="shared" si="100"/>
        <v>4418687.4000000004</v>
      </c>
      <c r="T165" s="48">
        <f t="shared" si="100"/>
        <v>120000</v>
      </c>
      <c r="U165" s="48">
        <f t="shared" si="100"/>
        <v>50000</v>
      </c>
      <c r="V165" s="68">
        <f t="shared" si="73"/>
        <v>0.17699999999999999</v>
      </c>
    </row>
    <row r="166" spans="1:22" ht="33">
      <c r="A166" s="56" t="s">
        <v>132</v>
      </c>
      <c r="B166" s="15" t="s">
        <v>133</v>
      </c>
      <c r="C166" s="6" t="s">
        <v>14</v>
      </c>
      <c r="D166" s="6" t="s">
        <v>14</v>
      </c>
      <c r="E166" s="6" t="s">
        <v>14</v>
      </c>
      <c r="F166" s="51">
        <f t="shared" ref="F166:U166" si="101">SUM(F168:F172)</f>
        <v>3492343.3</v>
      </c>
      <c r="G166" s="51">
        <f t="shared" si="101"/>
        <v>2213643.2999999998</v>
      </c>
      <c r="H166" s="51">
        <f t="shared" si="101"/>
        <v>1010000</v>
      </c>
      <c r="I166" s="51">
        <f t="shared" si="101"/>
        <v>268700</v>
      </c>
      <c r="J166" s="51">
        <f t="shared" si="101"/>
        <v>643950.5</v>
      </c>
      <c r="K166" s="51">
        <f t="shared" si="101"/>
        <v>520797.8</v>
      </c>
      <c r="L166" s="51">
        <f t="shared" si="101"/>
        <v>87000</v>
      </c>
      <c r="M166" s="51">
        <f t="shared" si="101"/>
        <v>36152.699999999997</v>
      </c>
      <c r="N166" s="51">
        <f t="shared" si="101"/>
        <v>4506413.0999999996</v>
      </c>
      <c r="O166" s="51">
        <f t="shared" si="101"/>
        <v>3437622.5</v>
      </c>
      <c r="P166" s="51">
        <f t="shared" si="101"/>
        <v>680000</v>
      </c>
      <c r="Q166" s="51">
        <f t="shared" si="101"/>
        <v>388790.6</v>
      </c>
      <c r="R166" s="51">
        <f t="shared" si="101"/>
        <v>4414937.4000000004</v>
      </c>
      <c r="S166" s="51">
        <f t="shared" si="101"/>
        <v>4364937.4000000004</v>
      </c>
      <c r="T166" s="51">
        <f t="shared" si="101"/>
        <v>0</v>
      </c>
      <c r="U166" s="51">
        <f t="shared" si="101"/>
        <v>50000</v>
      </c>
      <c r="V166" s="70">
        <f t="shared" si="73"/>
        <v>0.184</v>
      </c>
    </row>
    <row r="167" spans="1:22" ht="18.75">
      <c r="A167" s="57"/>
      <c r="B167" s="16" t="s">
        <v>17</v>
      </c>
      <c r="C167" s="7"/>
      <c r="D167" s="7"/>
      <c r="E167" s="7"/>
      <c r="F167" s="51"/>
      <c r="G167" s="49"/>
      <c r="H167" s="49"/>
      <c r="I167" s="49"/>
      <c r="J167" s="51"/>
      <c r="K167" s="49"/>
      <c r="L167" s="49"/>
      <c r="M167" s="49"/>
      <c r="N167" s="51"/>
      <c r="O167" s="49"/>
      <c r="P167" s="49"/>
      <c r="Q167" s="49"/>
      <c r="R167" s="51"/>
      <c r="S167" s="49"/>
      <c r="T167" s="49"/>
      <c r="U167" s="49"/>
      <c r="V167" s="69"/>
    </row>
    <row r="168" spans="1:22" ht="66">
      <c r="A168" s="57"/>
      <c r="B168" s="17" t="s">
        <v>134</v>
      </c>
      <c r="C168" s="7">
        <v>822</v>
      </c>
      <c r="D168" s="8" t="s">
        <v>135</v>
      </c>
      <c r="E168" s="7" t="s">
        <v>280</v>
      </c>
      <c r="F168" s="51">
        <f t="shared" ref="F168:R172" si="102">G168+H168+I168</f>
        <v>3488963.3</v>
      </c>
      <c r="G168" s="53">
        <f>2164904.3+45359</f>
        <v>2210263.2999999998</v>
      </c>
      <c r="H168" s="53">
        <v>1010000</v>
      </c>
      <c r="I168" s="53">
        <v>268700</v>
      </c>
      <c r="J168" s="51">
        <f t="shared" si="102"/>
        <v>643715</v>
      </c>
      <c r="K168" s="53">
        <v>520562.3</v>
      </c>
      <c r="L168" s="53">
        <v>87000</v>
      </c>
      <c r="M168" s="53">
        <v>36152.699999999997</v>
      </c>
      <c r="N168" s="51">
        <f t="shared" si="102"/>
        <v>4503033.0999999996</v>
      </c>
      <c r="O168" s="53">
        <v>3434242.5</v>
      </c>
      <c r="P168" s="53">
        <v>680000</v>
      </c>
      <c r="Q168" s="53">
        <v>388790.6</v>
      </c>
      <c r="R168" s="51">
        <f t="shared" si="102"/>
        <v>4411557.4000000004</v>
      </c>
      <c r="S168" s="53">
        <v>4361557.4000000004</v>
      </c>
      <c r="T168" s="53"/>
      <c r="U168" s="53">
        <v>50000</v>
      </c>
      <c r="V168" s="72">
        <f t="shared" si="73"/>
        <v>0.185</v>
      </c>
    </row>
    <row r="169" spans="1:22" ht="66">
      <c r="A169" s="57"/>
      <c r="B169" s="17" t="s">
        <v>134</v>
      </c>
      <c r="C169" s="7">
        <v>811</v>
      </c>
      <c r="D169" s="8" t="s">
        <v>19</v>
      </c>
      <c r="E169" s="7" t="s">
        <v>374</v>
      </c>
      <c r="F169" s="51">
        <f t="shared" si="102"/>
        <v>367.5</v>
      </c>
      <c r="G169" s="53">
        <v>367.5</v>
      </c>
      <c r="H169" s="53"/>
      <c r="I169" s="53"/>
      <c r="J169" s="51">
        <f t="shared" si="102"/>
        <v>0</v>
      </c>
      <c r="K169" s="53"/>
      <c r="L169" s="53"/>
      <c r="M169" s="53"/>
      <c r="N169" s="51">
        <f t="shared" si="102"/>
        <v>0</v>
      </c>
      <c r="O169" s="53"/>
      <c r="P169" s="53"/>
      <c r="Q169" s="53"/>
      <c r="R169" s="51">
        <f t="shared" si="102"/>
        <v>0</v>
      </c>
      <c r="S169" s="53"/>
      <c r="T169" s="53"/>
      <c r="U169" s="53"/>
      <c r="V169" s="72">
        <f t="shared" si="73"/>
        <v>0</v>
      </c>
    </row>
    <row r="170" spans="1:22" ht="66">
      <c r="A170" s="57"/>
      <c r="B170" s="17" t="s">
        <v>134</v>
      </c>
      <c r="C170" s="7">
        <v>815</v>
      </c>
      <c r="D170" s="8" t="s">
        <v>67</v>
      </c>
      <c r="E170" s="7" t="s">
        <v>374</v>
      </c>
      <c r="F170" s="51">
        <f t="shared" si="102"/>
        <v>2931.5</v>
      </c>
      <c r="G170" s="53">
        <v>2931.5</v>
      </c>
      <c r="H170" s="53"/>
      <c r="I170" s="53"/>
      <c r="J170" s="51">
        <f t="shared" si="102"/>
        <v>230</v>
      </c>
      <c r="K170" s="53">
        <f>9.9+100+120.07</f>
        <v>230</v>
      </c>
      <c r="L170" s="53"/>
      <c r="M170" s="53"/>
      <c r="N170" s="51">
        <f t="shared" si="102"/>
        <v>0</v>
      </c>
      <c r="O170" s="53"/>
      <c r="P170" s="53"/>
      <c r="Q170" s="53"/>
      <c r="R170" s="51">
        <f t="shared" si="102"/>
        <v>0</v>
      </c>
      <c r="S170" s="53"/>
      <c r="T170" s="53"/>
      <c r="U170" s="53"/>
      <c r="V170" s="72">
        <f t="shared" si="73"/>
        <v>7.8E-2</v>
      </c>
    </row>
    <row r="171" spans="1:22" ht="66">
      <c r="A171" s="57"/>
      <c r="B171" s="17" t="s">
        <v>134</v>
      </c>
      <c r="C171" s="7">
        <v>816</v>
      </c>
      <c r="D171" s="8" t="s">
        <v>72</v>
      </c>
      <c r="E171" s="7" t="s">
        <v>374</v>
      </c>
      <c r="F171" s="51">
        <f t="shared" si="102"/>
        <v>81</v>
      </c>
      <c r="G171" s="53">
        <v>81</v>
      </c>
      <c r="H171" s="53"/>
      <c r="I171" s="53"/>
      <c r="J171" s="51">
        <f t="shared" si="102"/>
        <v>5.5</v>
      </c>
      <c r="K171" s="53">
        <v>5.5</v>
      </c>
      <c r="L171" s="53"/>
      <c r="M171" s="53"/>
      <c r="N171" s="51">
        <f t="shared" si="102"/>
        <v>0</v>
      </c>
      <c r="O171" s="53"/>
      <c r="P171" s="53"/>
      <c r="Q171" s="53"/>
      <c r="R171" s="51">
        <f t="shared" si="102"/>
        <v>0</v>
      </c>
      <c r="S171" s="53"/>
      <c r="T171" s="53"/>
      <c r="U171" s="53"/>
      <c r="V171" s="72">
        <f t="shared" si="73"/>
        <v>6.8000000000000005E-2</v>
      </c>
    </row>
    <row r="172" spans="1:22" ht="71.25" customHeight="1">
      <c r="A172" s="57"/>
      <c r="B172" s="17" t="s">
        <v>134</v>
      </c>
      <c r="C172" s="7">
        <v>845</v>
      </c>
      <c r="D172" s="8" t="s">
        <v>378</v>
      </c>
      <c r="E172" s="7" t="s">
        <v>374</v>
      </c>
      <c r="F172" s="51">
        <f t="shared" si="102"/>
        <v>0</v>
      </c>
      <c r="G172" s="53"/>
      <c r="H172" s="53"/>
      <c r="I172" s="53"/>
      <c r="J172" s="51">
        <f t="shared" si="102"/>
        <v>0</v>
      </c>
      <c r="K172" s="53"/>
      <c r="L172" s="53"/>
      <c r="M172" s="53"/>
      <c r="N172" s="51">
        <f t="shared" si="102"/>
        <v>3380</v>
      </c>
      <c r="O172" s="53">
        <v>3380</v>
      </c>
      <c r="P172" s="53"/>
      <c r="Q172" s="53"/>
      <c r="R172" s="51">
        <f t="shared" si="102"/>
        <v>3380</v>
      </c>
      <c r="S172" s="53">
        <v>3380</v>
      </c>
      <c r="T172" s="53"/>
      <c r="U172" s="53"/>
      <c r="V172" s="72"/>
    </row>
    <row r="173" spans="1:22" ht="49.5">
      <c r="A173" s="56" t="s">
        <v>375</v>
      </c>
      <c r="B173" s="15" t="s">
        <v>368</v>
      </c>
      <c r="C173" s="6" t="s">
        <v>14</v>
      </c>
      <c r="D173" s="6" t="s">
        <v>14</v>
      </c>
      <c r="E173" s="6" t="s">
        <v>14</v>
      </c>
      <c r="F173" s="51">
        <f t="shared" ref="F173:U173" si="103">SUM(F175:F177)</f>
        <v>139000</v>
      </c>
      <c r="G173" s="51">
        <f t="shared" si="103"/>
        <v>19000</v>
      </c>
      <c r="H173" s="51">
        <f t="shared" si="103"/>
        <v>120000</v>
      </c>
      <c r="I173" s="51">
        <f t="shared" si="103"/>
        <v>0</v>
      </c>
      <c r="J173" s="51">
        <f t="shared" si="103"/>
        <v>0</v>
      </c>
      <c r="K173" s="51">
        <f t="shared" si="103"/>
        <v>0</v>
      </c>
      <c r="L173" s="51">
        <f t="shared" si="103"/>
        <v>0</v>
      </c>
      <c r="M173" s="51">
        <f t="shared" si="103"/>
        <v>0</v>
      </c>
      <c r="N173" s="51">
        <f t="shared" si="103"/>
        <v>182000</v>
      </c>
      <c r="O173" s="51">
        <f t="shared" si="103"/>
        <v>62000</v>
      </c>
      <c r="P173" s="51">
        <f t="shared" si="103"/>
        <v>120000</v>
      </c>
      <c r="Q173" s="51">
        <f t="shared" si="103"/>
        <v>0</v>
      </c>
      <c r="R173" s="51">
        <f t="shared" si="103"/>
        <v>173750</v>
      </c>
      <c r="S173" s="51">
        <f t="shared" si="103"/>
        <v>53750</v>
      </c>
      <c r="T173" s="51">
        <f t="shared" si="103"/>
        <v>120000</v>
      </c>
      <c r="U173" s="51">
        <f t="shared" si="103"/>
        <v>0</v>
      </c>
      <c r="V173" s="70">
        <f t="shared" si="73"/>
        <v>0</v>
      </c>
    </row>
    <row r="174" spans="1:22" ht="18.75">
      <c r="A174" s="57"/>
      <c r="B174" s="16" t="s">
        <v>17</v>
      </c>
      <c r="C174" s="7"/>
      <c r="D174" s="7"/>
      <c r="E174" s="7"/>
      <c r="F174" s="51"/>
      <c r="G174" s="49"/>
      <c r="H174" s="49"/>
      <c r="I174" s="49"/>
      <c r="J174" s="51"/>
      <c r="K174" s="49"/>
      <c r="L174" s="49"/>
      <c r="M174" s="49"/>
      <c r="N174" s="51"/>
      <c r="O174" s="49"/>
      <c r="P174" s="49"/>
      <c r="Q174" s="49"/>
      <c r="R174" s="51"/>
      <c r="S174" s="49"/>
      <c r="T174" s="49"/>
      <c r="U174" s="49"/>
      <c r="V174" s="69"/>
    </row>
    <row r="175" spans="1:22" ht="115.5">
      <c r="A175" s="57"/>
      <c r="B175" s="17" t="s">
        <v>388</v>
      </c>
      <c r="C175" s="7">
        <v>822</v>
      </c>
      <c r="D175" s="8" t="s">
        <v>135</v>
      </c>
      <c r="E175" s="7" t="s">
        <v>387</v>
      </c>
      <c r="F175" s="51">
        <f>G175+H175+I175</f>
        <v>120000</v>
      </c>
      <c r="G175" s="49"/>
      <c r="H175" s="53">
        <v>120000</v>
      </c>
      <c r="I175" s="53"/>
      <c r="J175" s="51">
        <f>K175+L175+M175</f>
        <v>0</v>
      </c>
      <c r="K175" s="49"/>
      <c r="L175" s="49"/>
      <c r="M175" s="53"/>
      <c r="N175" s="51">
        <f>O175+P175+Q175</f>
        <v>120000</v>
      </c>
      <c r="O175" s="49"/>
      <c r="P175" s="53">
        <v>120000</v>
      </c>
      <c r="Q175" s="53"/>
      <c r="R175" s="51">
        <f>S175+T175+U175</f>
        <v>120000</v>
      </c>
      <c r="S175" s="49"/>
      <c r="T175" s="50">
        <v>120000</v>
      </c>
      <c r="U175" s="53"/>
      <c r="V175" s="69">
        <f t="shared" si="73"/>
        <v>0</v>
      </c>
    </row>
    <row r="176" spans="1:22" ht="33">
      <c r="A176" s="57"/>
      <c r="B176" s="17" t="s">
        <v>369</v>
      </c>
      <c r="C176" s="7">
        <v>804</v>
      </c>
      <c r="D176" s="8" t="s">
        <v>99</v>
      </c>
      <c r="E176" s="7" t="s">
        <v>370</v>
      </c>
      <c r="F176" s="51">
        <f>G176+H176+I176</f>
        <v>19000</v>
      </c>
      <c r="G176" s="53">
        <v>19000</v>
      </c>
      <c r="H176" s="49"/>
      <c r="I176" s="49"/>
      <c r="J176" s="51">
        <f>K176+L176+M176</f>
        <v>0</v>
      </c>
      <c r="K176" s="49"/>
      <c r="L176" s="49"/>
      <c r="M176" s="49"/>
      <c r="N176" s="51">
        <f>O176+P176+Q176</f>
        <v>0</v>
      </c>
      <c r="O176" s="49"/>
      <c r="P176" s="49"/>
      <c r="Q176" s="49"/>
      <c r="R176" s="51">
        <f>S176+T176+U176</f>
        <v>0</v>
      </c>
      <c r="S176" s="49"/>
      <c r="T176" s="49"/>
      <c r="U176" s="49"/>
      <c r="V176" s="69"/>
    </row>
    <row r="177" spans="1:22" ht="66">
      <c r="A177" s="57"/>
      <c r="B177" s="17" t="s">
        <v>369</v>
      </c>
      <c r="C177" s="7">
        <v>822</v>
      </c>
      <c r="D177" s="8" t="s">
        <v>135</v>
      </c>
      <c r="E177" s="7" t="s">
        <v>370</v>
      </c>
      <c r="F177" s="51">
        <f t="shared" ref="F177:R177" si="104">G177+H177+I177</f>
        <v>0</v>
      </c>
      <c r="G177" s="53"/>
      <c r="H177" s="53"/>
      <c r="I177" s="53"/>
      <c r="J177" s="51">
        <f t="shared" si="104"/>
        <v>0</v>
      </c>
      <c r="K177" s="53"/>
      <c r="L177" s="53"/>
      <c r="M177" s="53"/>
      <c r="N177" s="51">
        <f t="shared" si="104"/>
        <v>62000</v>
      </c>
      <c r="O177" s="53">
        <v>62000</v>
      </c>
      <c r="P177" s="53"/>
      <c r="Q177" s="53"/>
      <c r="R177" s="51">
        <f t="shared" si="104"/>
        <v>53750</v>
      </c>
      <c r="S177" s="53">
        <v>53750</v>
      </c>
      <c r="T177" s="53"/>
      <c r="U177" s="53"/>
      <c r="V177" s="72" t="e">
        <f t="shared" si="73"/>
        <v>#DIV/0!</v>
      </c>
    </row>
    <row r="178" spans="1:22" ht="18.75">
      <c r="A178" s="58" t="s">
        <v>136</v>
      </c>
      <c r="B178" s="21" t="s">
        <v>137</v>
      </c>
      <c r="C178" s="1" t="s">
        <v>14</v>
      </c>
      <c r="D178" s="1" t="s">
        <v>14</v>
      </c>
      <c r="E178" s="1" t="s">
        <v>14</v>
      </c>
      <c r="F178" s="48">
        <f t="shared" ref="F178:U178" si="105">F179+F187+F190</f>
        <v>73649.3</v>
      </c>
      <c r="G178" s="48">
        <f t="shared" si="105"/>
        <v>39775.1</v>
      </c>
      <c r="H178" s="48">
        <f t="shared" ref="H178" si="106">H179+H187+H190</f>
        <v>33218.199999999997</v>
      </c>
      <c r="I178" s="48">
        <f t="shared" si="105"/>
        <v>656</v>
      </c>
      <c r="J178" s="48">
        <f t="shared" si="105"/>
        <v>1184.0999999999999</v>
      </c>
      <c r="K178" s="48">
        <f t="shared" si="105"/>
        <v>1184.0999999999999</v>
      </c>
      <c r="L178" s="48">
        <f t="shared" si="105"/>
        <v>0</v>
      </c>
      <c r="M178" s="48">
        <f t="shared" si="105"/>
        <v>0</v>
      </c>
      <c r="N178" s="48">
        <f t="shared" si="105"/>
        <v>54660.800000000003</v>
      </c>
      <c r="O178" s="48">
        <f t="shared" si="105"/>
        <v>32512.3</v>
      </c>
      <c r="P178" s="48">
        <f t="shared" si="105"/>
        <v>22148.5</v>
      </c>
      <c r="Q178" s="48">
        <f t="shared" si="105"/>
        <v>0</v>
      </c>
      <c r="R178" s="48">
        <f t="shared" si="105"/>
        <v>99460.4</v>
      </c>
      <c r="S178" s="48">
        <f t="shared" si="105"/>
        <v>1836.1</v>
      </c>
      <c r="T178" s="48">
        <f t="shared" si="105"/>
        <v>97624.3</v>
      </c>
      <c r="U178" s="48">
        <f t="shared" si="105"/>
        <v>0</v>
      </c>
      <c r="V178" s="68">
        <f t="shared" si="73"/>
        <v>1.6E-2</v>
      </c>
    </row>
    <row r="179" spans="1:22" ht="33">
      <c r="A179" s="56" t="s">
        <v>138</v>
      </c>
      <c r="B179" s="15" t="s">
        <v>139</v>
      </c>
      <c r="C179" s="6" t="s">
        <v>14</v>
      </c>
      <c r="D179" s="6" t="s">
        <v>14</v>
      </c>
      <c r="E179" s="6" t="s">
        <v>14</v>
      </c>
      <c r="F179" s="51">
        <f t="shared" ref="F179:T179" si="107">SUM(F181:F186)</f>
        <v>47189.3</v>
      </c>
      <c r="G179" s="49">
        <f t="shared" si="107"/>
        <v>13315.1</v>
      </c>
      <c r="H179" s="49">
        <f t="shared" ref="H179" si="108">SUM(H181:H186)</f>
        <v>33218.199999999997</v>
      </c>
      <c r="I179" s="49">
        <f t="shared" si="107"/>
        <v>656</v>
      </c>
      <c r="J179" s="51">
        <f t="shared" si="107"/>
        <v>0</v>
      </c>
      <c r="K179" s="49">
        <f t="shared" si="107"/>
        <v>0</v>
      </c>
      <c r="L179" s="49">
        <f t="shared" si="107"/>
        <v>0</v>
      </c>
      <c r="M179" s="49">
        <f t="shared" si="107"/>
        <v>0</v>
      </c>
      <c r="N179" s="51">
        <f t="shared" si="107"/>
        <v>25660.799999999999</v>
      </c>
      <c r="O179" s="49">
        <f t="shared" si="107"/>
        <v>3512.3</v>
      </c>
      <c r="P179" s="49">
        <f t="shared" si="107"/>
        <v>22148.5</v>
      </c>
      <c r="Q179" s="49">
        <f t="shared" si="107"/>
        <v>0</v>
      </c>
      <c r="R179" s="51">
        <f t="shared" si="107"/>
        <v>93760.4</v>
      </c>
      <c r="S179" s="49">
        <f t="shared" si="107"/>
        <v>1836.1</v>
      </c>
      <c r="T179" s="49">
        <f t="shared" si="107"/>
        <v>91924.3</v>
      </c>
      <c r="U179" s="49">
        <f>SUM(U181:U186)</f>
        <v>0</v>
      </c>
      <c r="V179" s="69">
        <f t="shared" si="73"/>
        <v>0</v>
      </c>
    </row>
    <row r="180" spans="1:22" ht="18.75">
      <c r="A180" s="57"/>
      <c r="B180" s="16" t="s">
        <v>17</v>
      </c>
      <c r="C180" s="7"/>
      <c r="D180" s="7"/>
      <c r="E180" s="7"/>
      <c r="F180" s="51"/>
      <c r="G180" s="49"/>
      <c r="H180" s="49"/>
      <c r="I180" s="49"/>
      <c r="J180" s="51"/>
      <c r="K180" s="49"/>
      <c r="L180" s="49"/>
      <c r="M180" s="49"/>
      <c r="N180" s="51"/>
      <c r="O180" s="49"/>
      <c r="P180" s="49"/>
      <c r="Q180" s="49"/>
      <c r="R180" s="51"/>
      <c r="S180" s="49"/>
      <c r="T180" s="49"/>
      <c r="U180" s="49"/>
      <c r="V180" s="69"/>
    </row>
    <row r="181" spans="1:22" ht="66">
      <c r="A181" s="59"/>
      <c r="B181" s="65" t="s">
        <v>262</v>
      </c>
      <c r="C181" s="31">
        <v>821</v>
      </c>
      <c r="D181" s="33" t="s">
        <v>21</v>
      </c>
      <c r="E181" s="31" t="s">
        <v>263</v>
      </c>
      <c r="F181" s="49">
        <f t="shared" ref="F181:R186" si="109">G181+H181+I181</f>
        <v>15238.4</v>
      </c>
      <c r="G181" s="53">
        <f>2479</f>
        <v>2479</v>
      </c>
      <c r="H181" s="53">
        <v>12103.4</v>
      </c>
      <c r="I181" s="53">
        <v>656</v>
      </c>
      <c r="J181" s="49">
        <f t="shared" si="109"/>
        <v>0</v>
      </c>
      <c r="K181" s="53"/>
      <c r="L181" s="53"/>
      <c r="M181" s="53"/>
      <c r="N181" s="49">
        <f t="shared" si="109"/>
        <v>20660.8</v>
      </c>
      <c r="O181" s="53">
        <v>3512.3</v>
      </c>
      <c r="P181" s="53">
        <v>17148.5</v>
      </c>
      <c r="Q181" s="53"/>
      <c r="R181" s="49">
        <f t="shared" si="109"/>
        <v>0</v>
      </c>
      <c r="S181" s="53"/>
      <c r="T181" s="53"/>
      <c r="U181" s="53"/>
      <c r="V181" s="72">
        <f t="shared" si="73"/>
        <v>0</v>
      </c>
    </row>
    <row r="182" spans="1:22" ht="49.5">
      <c r="A182" s="59"/>
      <c r="B182" s="65" t="s">
        <v>262</v>
      </c>
      <c r="C182" s="31">
        <v>814</v>
      </c>
      <c r="D182" s="33" t="s">
        <v>140</v>
      </c>
      <c r="E182" s="31" t="s">
        <v>263</v>
      </c>
      <c r="F182" s="49">
        <f t="shared" si="109"/>
        <v>22950.9</v>
      </c>
      <c r="G182" s="53">
        <f>1836.1-0.03</f>
        <v>1836.1</v>
      </c>
      <c r="H182" s="53">
        <v>21114.799999999999</v>
      </c>
      <c r="I182" s="53"/>
      <c r="J182" s="49">
        <f t="shared" si="109"/>
        <v>0</v>
      </c>
      <c r="K182" s="53"/>
      <c r="L182" s="53"/>
      <c r="M182" s="53"/>
      <c r="N182" s="49">
        <f t="shared" si="109"/>
        <v>0</v>
      </c>
      <c r="O182" s="53"/>
      <c r="P182" s="53"/>
      <c r="Q182" s="53"/>
      <c r="R182" s="49">
        <f t="shared" si="109"/>
        <v>22950.9</v>
      </c>
      <c r="S182" s="53">
        <f>1836.1-0.03</f>
        <v>1836.1</v>
      </c>
      <c r="T182" s="53">
        <v>21114.799999999999</v>
      </c>
      <c r="U182" s="53"/>
      <c r="V182" s="72">
        <f t="shared" ref="V182:V237" si="110">J182/F182</f>
        <v>0</v>
      </c>
    </row>
    <row r="183" spans="1:22" ht="66">
      <c r="A183" s="59"/>
      <c r="B183" s="34" t="s">
        <v>260</v>
      </c>
      <c r="C183" s="31">
        <v>844</v>
      </c>
      <c r="D183" s="33" t="s">
        <v>259</v>
      </c>
      <c r="E183" s="31" t="s">
        <v>261</v>
      </c>
      <c r="F183" s="49">
        <f t="shared" si="109"/>
        <v>0</v>
      </c>
      <c r="G183" s="53"/>
      <c r="H183" s="53"/>
      <c r="I183" s="53"/>
      <c r="J183" s="49">
        <f t="shared" si="109"/>
        <v>0</v>
      </c>
      <c r="K183" s="53"/>
      <c r="L183" s="53"/>
      <c r="M183" s="53"/>
      <c r="N183" s="49">
        <f t="shared" si="109"/>
        <v>0</v>
      </c>
      <c r="O183" s="53"/>
      <c r="P183" s="53"/>
      <c r="Q183" s="53"/>
      <c r="R183" s="49">
        <f t="shared" si="109"/>
        <v>65809.5</v>
      </c>
      <c r="S183" s="53"/>
      <c r="T183" s="53">
        <v>65809.5</v>
      </c>
      <c r="U183" s="53"/>
      <c r="V183" s="72"/>
    </row>
    <row r="184" spans="1:22" ht="49.5">
      <c r="A184" s="59"/>
      <c r="B184" s="34" t="s">
        <v>257</v>
      </c>
      <c r="C184" s="31">
        <v>814</v>
      </c>
      <c r="D184" s="33" t="s">
        <v>140</v>
      </c>
      <c r="E184" s="31" t="s">
        <v>258</v>
      </c>
      <c r="F184" s="49">
        <f t="shared" si="109"/>
        <v>0</v>
      </c>
      <c r="G184" s="53"/>
      <c r="H184" s="53"/>
      <c r="I184" s="53"/>
      <c r="J184" s="49">
        <f t="shared" si="109"/>
        <v>0</v>
      </c>
      <c r="K184" s="53"/>
      <c r="L184" s="53"/>
      <c r="M184" s="53"/>
      <c r="N184" s="49">
        <f t="shared" si="109"/>
        <v>5000</v>
      </c>
      <c r="O184" s="53"/>
      <c r="P184" s="53">
        <v>5000</v>
      </c>
      <c r="Q184" s="53"/>
      <c r="R184" s="49">
        <f t="shared" si="109"/>
        <v>5000</v>
      </c>
      <c r="S184" s="53"/>
      <c r="T184" s="53">
        <v>5000</v>
      </c>
      <c r="U184" s="53"/>
      <c r="V184" s="72"/>
    </row>
    <row r="185" spans="1:22" ht="49.5">
      <c r="A185" s="59"/>
      <c r="B185" s="34" t="s">
        <v>262</v>
      </c>
      <c r="C185" s="31">
        <v>814</v>
      </c>
      <c r="D185" s="33" t="s">
        <v>140</v>
      </c>
      <c r="E185" s="31" t="s">
        <v>376</v>
      </c>
      <c r="F185" s="49">
        <f t="shared" si="109"/>
        <v>4000</v>
      </c>
      <c r="G185" s="53">
        <v>4000</v>
      </c>
      <c r="H185" s="53"/>
      <c r="I185" s="53"/>
      <c r="J185" s="49">
        <f t="shared" si="109"/>
        <v>0</v>
      </c>
      <c r="K185" s="53"/>
      <c r="L185" s="53"/>
      <c r="M185" s="53"/>
      <c r="N185" s="49">
        <f t="shared" si="109"/>
        <v>0</v>
      </c>
      <c r="O185" s="53"/>
      <c r="P185" s="53"/>
      <c r="Q185" s="53"/>
      <c r="R185" s="49">
        <f t="shared" si="109"/>
        <v>0</v>
      </c>
      <c r="S185" s="53"/>
      <c r="T185" s="53"/>
      <c r="U185" s="53"/>
      <c r="V185" s="72">
        <f t="shared" si="110"/>
        <v>0</v>
      </c>
    </row>
    <row r="186" spans="1:22" ht="49.5">
      <c r="A186" s="59"/>
      <c r="B186" s="34" t="s">
        <v>257</v>
      </c>
      <c r="C186" s="31">
        <v>814</v>
      </c>
      <c r="D186" s="33" t="s">
        <v>140</v>
      </c>
      <c r="E186" s="31" t="s">
        <v>339</v>
      </c>
      <c r="F186" s="49">
        <f t="shared" si="109"/>
        <v>5000</v>
      </c>
      <c r="G186" s="53">
        <v>5000</v>
      </c>
      <c r="H186" s="53"/>
      <c r="I186" s="53"/>
      <c r="J186" s="49">
        <f t="shared" si="109"/>
        <v>0</v>
      </c>
      <c r="K186" s="53"/>
      <c r="L186" s="53"/>
      <c r="M186" s="53"/>
      <c r="N186" s="49">
        <f t="shared" si="109"/>
        <v>0</v>
      </c>
      <c r="O186" s="53"/>
      <c r="P186" s="53"/>
      <c r="Q186" s="53"/>
      <c r="R186" s="49">
        <f t="shared" si="109"/>
        <v>0</v>
      </c>
      <c r="S186" s="53"/>
      <c r="T186" s="53"/>
      <c r="U186" s="53"/>
      <c r="V186" s="72">
        <f t="shared" si="110"/>
        <v>0</v>
      </c>
    </row>
    <row r="187" spans="1:22" ht="33">
      <c r="A187" s="43" t="s">
        <v>141</v>
      </c>
      <c r="B187" s="28" t="s">
        <v>142</v>
      </c>
      <c r="C187" s="29" t="s">
        <v>14</v>
      </c>
      <c r="D187" s="29" t="s">
        <v>14</v>
      </c>
      <c r="E187" s="29" t="s">
        <v>14</v>
      </c>
      <c r="F187" s="49">
        <f t="shared" ref="F187:U187" si="111">SUM(F189)</f>
        <v>0</v>
      </c>
      <c r="G187" s="49">
        <f t="shared" si="111"/>
        <v>0</v>
      </c>
      <c r="H187" s="49">
        <f t="shared" ref="H187" si="112">SUM(H189)</f>
        <v>0</v>
      </c>
      <c r="I187" s="49">
        <f t="shared" si="111"/>
        <v>0</v>
      </c>
      <c r="J187" s="49">
        <f t="shared" si="111"/>
        <v>0</v>
      </c>
      <c r="K187" s="49">
        <f t="shared" si="111"/>
        <v>0</v>
      </c>
      <c r="L187" s="49">
        <f t="shared" si="111"/>
        <v>0</v>
      </c>
      <c r="M187" s="49">
        <f t="shared" si="111"/>
        <v>0</v>
      </c>
      <c r="N187" s="49">
        <f t="shared" si="111"/>
        <v>0</v>
      </c>
      <c r="O187" s="49">
        <f t="shared" si="111"/>
        <v>0</v>
      </c>
      <c r="P187" s="49">
        <f t="shared" si="111"/>
        <v>0</v>
      </c>
      <c r="Q187" s="49">
        <f t="shared" si="111"/>
        <v>0</v>
      </c>
      <c r="R187" s="49">
        <f t="shared" si="111"/>
        <v>5700</v>
      </c>
      <c r="S187" s="49">
        <f t="shared" si="111"/>
        <v>0</v>
      </c>
      <c r="T187" s="49">
        <f t="shared" si="111"/>
        <v>5700</v>
      </c>
      <c r="U187" s="49">
        <f t="shared" si="111"/>
        <v>0</v>
      </c>
      <c r="V187" s="69"/>
    </row>
    <row r="188" spans="1:22" ht="18.75">
      <c r="A188" s="59"/>
      <c r="B188" s="32" t="s">
        <v>17</v>
      </c>
      <c r="C188" s="31"/>
      <c r="D188" s="33"/>
      <c r="E188" s="31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69"/>
    </row>
    <row r="189" spans="1:22" ht="49.5">
      <c r="A189" s="59"/>
      <c r="B189" s="34" t="s">
        <v>143</v>
      </c>
      <c r="C189" s="31">
        <v>814</v>
      </c>
      <c r="D189" s="33" t="s">
        <v>140</v>
      </c>
      <c r="E189" s="31" t="s">
        <v>264</v>
      </c>
      <c r="F189" s="49">
        <f t="shared" ref="F189:R189" si="113">G189+H189+I189</f>
        <v>0</v>
      </c>
      <c r="G189" s="53"/>
      <c r="H189" s="53"/>
      <c r="I189" s="53"/>
      <c r="J189" s="49">
        <f t="shared" si="113"/>
        <v>0</v>
      </c>
      <c r="K189" s="53"/>
      <c r="L189" s="53"/>
      <c r="M189" s="53"/>
      <c r="N189" s="49">
        <f t="shared" si="113"/>
        <v>0</v>
      </c>
      <c r="O189" s="53"/>
      <c r="P189" s="53"/>
      <c r="Q189" s="53"/>
      <c r="R189" s="49">
        <f t="shared" si="113"/>
        <v>5700</v>
      </c>
      <c r="S189" s="53"/>
      <c r="T189" s="53">
        <v>5700</v>
      </c>
      <c r="U189" s="53"/>
      <c r="V189" s="72"/>
    </row>
    <row r="190" spans="1:22" ht="33">
      <c r="A190" s="43" t="s">
        <v>144</v>
      </c>
      <c r="B190" s="28" t="s">
        <v>145</v>
      </c>
      <c r="C190" s="29" t="s">
        <v>14</v>
      </c>
      <c r="D190" s="29" t="s">
        <v>14</v>
      </c>
      <c r="E190" s="29" t="s">
        <v>14</v>
      </c>
      <c r="F190" s="49">
        <f>SUM(F192:F196)</f>
        <v>26460</v>
      </c>
      <c r="G190" s="49">
        <f>SUM(G192:G196)</f>
        <v>26460</v>
      </c>
      <c r="H190" s="49">
        <f t="shared" ref="H190" si="114">SUM(H192:H196)</f>
        <v>0</v>
      </c>
      <c r="I190" s="49">
        <f t="shared" ref="I190:U190" si="115">SUM(I192:I196)</f>
        <v>0</v>
      </c>
      <c r="J190" s="49">
        <f t="shared" si="115"/>
        <v>1184.0999999999999</v>
      </c>
      <c r="K190" s="49">
        <f t="shared" si="115"/>
        <v>1184.0999999999999</v>
      </c>
      <c r="L190" s="49">
        <f t="shared" si="115"/>
        <v>0</v>
      </c>
      <c r="M190" s="49">
        <f t="shared" si="115"/>
        <v>0</v>
      </c>
      <c r="N190" s="49">
        <f t="shared" si="115"/>
        <v>29000</v>
      </c>
      <c r="O190" s="49">
        <f t="shared" si="115"/>
        <v>29000</v>
      </c>
      <c r="P190" s="49">
        <f t="shared" si="115"/>
        <v>0</v>
      </c>
      <c r="Q190" s="49">
        <f t="shared" si="115"/>
        <v>0</v>
      </c>
      <c r="R190" s="49">
        <f t="shared" si="115"/>
        <v>0</v>
      </c>
      <c r="S190" s="49">
        <f t="shared" si="115"/>
        <v>0</v>
      </c>
      <c r="T190" s="49">
        <f t="shared" si="115"/>
        <v>0</v>
      </c>
      <c r="U190" s="49">
        <f t="shared" si="115"/>
        <v>0</v>
      </c>
      <c r="V190" s="69">
        <f t="shared" si="110"/>
        <v>4.4999999999999998E-2</v>
      </c>
    </row>
    <row r="191" spans="1:22" ht="18.75">
      <c r="A191" s="59"/>
      <c r="B191" s="32" t="s">
        <v>17</v>
      </c>
      <c r="C191" s="31"/>
      <c r="D191" s="33"/>
      <c r="E191" s="31"/>
      <c r="F191" s="49"/>
      <c r="G191" s="49"/>
      <c r="H191" s="49"/>
      <c r="I191" s="49"/>
      <c r="J191" s="49">
        <f t="shared" ref="F191:R196" si="116">K191+L191+M191</f>
        <v>0</v>
      </c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69"/>
    </row>
    <row r="192" spans="1:22" ht="49.5">
      <c r="A192" s="59"/>
      <c r="B192" s="34" t="s">
        <v>146</v>
      </c>
      <c r="C192" s="31">
        <v>814</v>
      </c>
      <c r="D192" s="33" t="s">
        <v>140</v>
      </c>
      <c r="E192" s="31" t="s">
        <v>332</v>
      </c>
      <c r="F192" s="49">
        <f t="shared" si="116"/>
        <v>13000</v>
      </c>
      <c r="G192" s="53">
        <v>13000</v>
      </c>
      <c r="H192" s="53"/>
      <c r="I192" s="53"/>
      <c r="J192" s="49">
        <f t="shared" si="116"/>
        <v>0</v>
      </c>
      <c r="K192" s="53"/>
      <c r="L192" s="53"/>
      <c r="M192" s="53"/>
      <c r="N192" s="49">
        <f t="shared" si="116"/>
        <v>13000</v>
      </c>
      <c r="O192" s="53">
        <v>13000</v>
      </c>
      <c r="P192" s="53"/>
      <c r="Q192" s="53"/>
      <c r="R192" s="49">
        <f t="shared" si="116"/>
        <v>0</v>
      </c>
      <c r="S192" s="53"/>
      <c r="T192" s="53"/>
      <c r="U192" s="53"/>
      <c r="V192" s="72">
        <f t="shared" si="110"/>
        <v>0</v>
      </c>
    </row>
    <row r="193" spans="1:22" ht="82.5">
      <c r="A193" s="59"/>
      <c r="B193" s="34" t="s">
        <v>338</v>
      </c>
      <c r="C193" s="31">
        <v>814</v>
      </c>
      <c r="D193" s="33" t="s">
        <v>140</v>
      </c>
      <c r="E193" s="31" t="s">
        <v>337</v>
      </c>
      <c r="F193" s="49">
        <f t="shared" si="116"/>
        <v>1000</v>
      </c>
      <c r="G193" s="53">
        <f>16000-15000</f>
        <v>1000</v>
      </c>
      <c r="H193" s="53"/>
      <c r="I193" s="53"/>
      <c r="J193" s="49">
        <f t="shared" si="116"/>
        <v>384.5</v>
      </c>
      <c r="K193" s="53">
        <v>384.5</v>
      </c>
      <c r="L193" s="53"/>
      <c r="M193" s="53"/>
      <c r="N193" s="49">
        <f t="shared" si="116"/>
        <v>16000</v>
      </c>
      <c r="O193" s="53">
        <v>16000</v>
      </c>
      <c r="P193" s="53"/>
      <c r="Q193" s="53"/>
      <c r="R193" s="49">
        <f t="shared" si="116"/>
        <v>0</v>
      </c>
      <c r="S193" s="53"/>
      <c r="T193" s="53"/>
      <c r="U193" s="53"/>
      <c r="V193" s="72">
        <f t="shared" si="110"/>
        <v>0.38500000000000001</v>
      </c>
    </row>
    <row r="194" spans="1:22" ht="49.5">
      <c r="A194" s="59"/>
      <c r="B194" s="34" t="s">
        <v>331</v>
      </c>
      <c r="C194" s="31">
        <v>814</v>
      </c>
      <c r="D194" s="33" t="s">
        <v>140</v>
      </c>
      <c r="E194" s="31" t="s">
        <v>330</v>
      </c>
      <c r="F194" s="49">
        <f t="shared" si="116"/>
        <v>8460</v>
      </c>
      <c r="G194" s="53">
        <v>8460</v>
      </c>
      <c r="H194" s="53"/>
      <c r="I194" s="53"/>
      <c r="J194" s="49">
        <f t="shared" si="116"/>
        <v>799.6</v>
      </c>
      <c r="K194" s="53">
        <f>791.62+8</f>
        <v>799.6</v>
      </c>
      <c r="L194" s="53"/>
      <c r="M194" s="53"/>
      <c r="N194" s="49">
        <f t="shared" si="116"/>
        <v>0</v>
      </c>
      <c r="O194" s="53"/>
      <c r="P194" s="53"/>
      <c r="Q194" s="53"/>
      <c r="R194" s="49">
        <f t="shared" si="116"/>
        <v>0</v>
      </c>
      <c r="S194" s="53"/>
      <c r="T194" s="53"/>
      <c r="U194" s="53"/>
      <c r="V194" s="72">
        <f t="shared" si="110"/>
        <v>9.5000000000000001E-2</v>
      </c>
    </row>
    <row r="195" spans="1:22" ht="66">
      <c r="A195" s="59"/>
      <c r="B195" s="34" t="s">
        <v>334</v>
      </c>
      <c r="C195" s="31">
        <v>814</v>
      </c>
      <c r="D195" s="33" t="s">
        <v>140</v>
      </c>
      <c r="E195" s="31" t="s">
        <v>333</v>
      </c>
      <c r="F195" s="49">
        <f t="shared" si="116"/>
        <v>2000</v>
      </c>
      <c r="G195" s="53">
        <v>2000</v>
      </c>
      <c r="H195" s="53"/>
      <c r="I195" s="53"/>
      <c r="J195" s="49">
        <f t="shared" si="116"/>
        <v>0</v>
      </c>
      <c r="K195" s="53"/>
      <c r="L195" s="53"/>
      <c r="M195" s="53"/>
      <c r="N195" s="49">
        <f t="shared" si="116"/>
        <v>0</v>
      </c>
      <c r="O195" s="53"/>
      <c r="P195" s="53"/>
      <c r="Q195" s="53"/>
      <c r="R195" s="49">
        <f t="shared" si="116"/>
        <v>0</v>
      </c>
      <c r="S195" s="53"/>
      <c r="T195" s="53"/>
      <c r="U195" s="53"/>
      <c r="V195" s="72">
        <f t="shared" si="110"/>
        <v>0</v>
      </c>
    </row>
    <row r="196" spans="1:22" ht="49.5">
      <c r="A196" s="59"/>
      <c r="B196" s="34" t="s">
        <v>336</v>
      </c>
      <c r="C196" s="31">
        <v>814</v>
      </c>
      <c r="D196" s="33" t="s">
        <v>140</v>
      </c>
      <c r="E196" s="31" t="s">
        <v>335</v>
      </c>
      <c r="F196" s="49">
        <f t="shared" si="116"/>
        <v>2000</v>
      </c>
      <c r="G196" s="53">
        <v>2000</v>
      </c>
      <c r="H196" s="53"/>
      <c r="I196" s="53"/>
      <c r="J196" s="49">
        <f t="shared" si="116"/>
        <v>0</v>
      </c>
      <c r="K196" s="53"/>
      <c r="L196" s="53"/>
      <c r="M196" s="53"/>
      <c r="N196" s="49">
        <f t="shared" si="116"/>
        <v>0</v>
      </c>
      <c r="O196" s="53"/>
      <c r="P196" s="53"/>
      <c r="Q196" s="53"/>
      <c r="R196" s="49">
        <f t="shared" si="116"/>
        <v>0</v>
      </c>
      <c r="S196" s="53"/>
      <c r="T196" s="53"/>
      <c r="U196" s="53"/>
      <c r="V196" s="72">
        <f t="shared" si="110"/>
        <v>0</v>
      </c>
    </row>
    <row r="197" spans="1:22" ht="66">
      <c r="A197" s="58" t="s">
        <v>147</v>
      </c>
      <c r="B197" s="22" t="s">
        <v>148</v>
      </c>
      <c r="C197" s="1" t="s">
        <v>14</v>
      </c>
      <c r="D197" s="1" t="s">
        <v>14</v>
      </c>
      <c r="E197" s="1" t="s">
        <v>14</v>
      </c>
      <c r="F197" s="48">
        <f t="shared" ref="F197:U197" si="117">F198+F202+F208+F211</f>
        <v>161459.79999999999</v>
      </c>
      <c r="G197" s="48">
        <f t="shared" si="117"/>
        <v>5807.9</v>
      </c>
      <c r="H197" s="48">
        <f t="shared" si="117"/>
        <v>154789.6</v>
      </c>
      <c r="I197" s="48">
        <f t="shared" si="117"/>
        <v>862.3</v>
      </c>
      <c r="J197" s="48">
        <f t="shared" si="117"/>
        <v>1741.6</v>
      </c>
      <c r="K197" s="48">
        <f t="shared" si="117"/>
        <v>335.1</v>
      </c>
      <c r="L197" s="48">
        <f t="shared" si="117"/>
        <v>1406.5</v>
      </c>
      <c r="M197" s="48">
        <f t="shared" si="117"/>
        <v>0</v>
      </c>
      <c r="N197" s="48">
        <f t="shared" si="117"/>
        <v>113776.1</v>
      </c>
      <c r="O197" s="48">
        <f t="shared" si="117"/>
        <v>3413.4</v>
      </c>
      <c r="P197" s="48">
        <f t="shared" si="117"/>
        <v>110362.2</v>
      </c>
      <c r="Q197" s="48">
        <f t="shared" si="117"/>
        <v>0.5</v>
      </c>
      <c r="R197" s="48">
        <f t="shared" si="117"/>
        <v>228335.6</v>
      </c>
      <c r="S197" s="48">
        <f t="shared" si="117"/>
        <v>6850.1</v>
      </c>
      <c r="T197" s="48">
        <f t="shared" si="117"/>
        <v>221485</v>
      </c>
      <c r="U197" s="48">
        <f t="shared" si="117"/>
        <v>0.5</v>
      </c>
      <c r="V197" s="68">
        <f t="shared" si="110"/>
        <v>1.0999999999999999E-2</v>
      </c>
    </row>
    <row r="198" spans="1:22" ht="82.5">
      <c r="A198" s="56" t="s">
        <v>149</v>
      </c>
      <c r="B198" s="15" t="s">
        <v>150</v>
      </c>
      <c r="C198" s="6" t="s">
        <v>14</v>
      </c>
      <c r="D198" s="6" t="s">
        <v>14</v>
      </c>
      <c r="E198" s="6" t="s">
        <v>14</v>
      </c>
      <c r="F198" s="51">
        <f t="shared" ref="F198:U198" si="118">SUM(F200:F201)</f>
        <v>2938</v>
      </c>
      <c r="G198" s="49">
        <f t="shared" si="118"/>
        <v>88.1</v>
      </c>
      <c r="H198" s="49">
        <f t="shared" ref="H198" si="119">SUM(H200:H201)</f>
        <v>2849.9</v>
      </c>
      <c r="I198" s="49">
        <f t="shared" si="118"/>
        <v>0</v>
      </c>
      <c r="J198" s="51">
        <f t="shared" si="118"/>
        <v>0</v>
      </c>
      <c r="K198" s="49">
        <f t="shared" si="118"/>
        <v>0</v>
      </c>
      <c r="L198" s="49">
        <f t="shared" si="118"/>
        <v>0</v>
      </c>
      <c r="M198" s="49">
        <f t="shared" si="118"/>
        <v>0</v>
      </c>
      <c r="N198" s="51">
        <f t="shared" si="118"/>
        <v>15753.2</v>
      </c>
      <c r="O198" s="49">
        <f t="shared" si="118"/>
        <v>472.6</v>
      </c>
      <c r="P198" s="49">
        <f t="shared" si="118"/>
        <v>15280.6</v>
      </c>
      <c r="Q198" s="49">
        <f t="shared" si="118"/>
        <v>0</v>
      </c>
      <c r="R198" s="51">
        <f t="shared" si="118"/>
        <v>110786.9</v>
      </c>
      <c r="S198" s="49">
        <f t="shared" si="118"/>
        <v>3323.6</v>
      </c>
      <c r="T198" s="49">
        <f t="shared" si="118"/>
        <v>107463.3</v>
      </c>
      <c r="U198" s="49">
        <f t="shared" si="118"/>
        <v>0</v>
      </c>
      <c r="V198" s="69">
        <f t="shared" si="110"/>
        <v>0</v>
      </c>
    </row>
    <row r="199" spans="1:22" ht="18.75">
      <c r="A199" s="57"/>
      <c r="B199" s="18" t="s">
        <v>17</v>
      </c>
      <c r="C199" s="7"/>
      <c r="D199" s="7"/>
      <c r="E199" s="7"/>
      <c r="F199" s="51"/>
      <c r="G199" s="49"/>
      <c r="H199" s="49"/>
      <c r="I199" s="49"/>
      <c r="J199" s="51"/>
      <c r="K199" s="49"/>
      <c r="L199" s="49"/>
      <c r="M199" s="49"/>
      <c r="N199" s="51"/>
      <c r="O199" s="49"/>
      <c r="P199" s="49"/>
      <c r="Q199" s="49"/>
      <c r="R199" s="51"/>
      <c r="S199" s="49"/>
      <c r="T199" s="49"/>
      <c r="U199" s="49"/>
      <c r="V199" s="69"/>
    </row>
    <row r="200" spans="1:22" ht="99">
      <c r="A200" s="61"/>
      <c r="B200" s="40" t="s">
        <v>185</v>
      </c>
      <c r="C200" s="41">
        <v>840</v>
      </c>
      <c r="D200" s="42" t="s">
        <v>96</v>
      </c>
      <c r="E200" s="41" t="s">
        <v>180</v>
      </c>
      <c r="F200" s="52">
        <f t="shared" ref="F200:R201" si="120">G200+H200+I200</f>
        <v>0</v>
      </c>
      <c r="G200" s="55"/>
      <c r="H200" s="55"/>
      <c r="I200" s="55"/>
      <c r="J200" s="52">
        <f t="shared" si="120"/>
        <v>0</v>
      </c>
      <c r="K200" s="55"/>
      <c r="L200" s="55"/>
      <c r="M200" s="55"/>
      <c r="N200" s="52">
        <f t="shared" si="120"/>
        <v>3335.2</v>
      </c>
      <c r="O200" s="55">
        <f>100.1-0.05</f>
        <v>100.1</v>
      </c>
      <c r="P200" s="55">
        <v>3235.1</v>
      </c>
      <c r="Q200" s="55"/>
      <c r="R200" s="52">
        <f t="shared" si="120"/>
        <v>9703.9</v>
      </c>
      <c r="S200" s="55">
        <f>291.1+0.02</f>
        <v>291.10000000000002</v>
      </c>
      <c r="T200" s="55">
        <v>9412.7999999999993</v>
      </c>
      <c r="U200" s="55"/>
      <c r="V200" s="73"/>
    </row>
    <row r="201" spans="1:22" ht="99">
      <c r="A201" s="61"/>
      <c r="B201" s="40" t="s">
        <v>182</v>
      </c>
      <c r="C201" s="41">
        <v>840</v>
      </c>
      <c r="D201" s="42" t="s">
        <v>96</v>
      </c>
      <c r="E201" s="41" t="s">
        <v>181</v>
      </c>
      <c r="F201" s="52">
        <f t="shared" si="120"/>
        <v>2938</v>
      </c>
      <c r="G201" s="55">
        <f>88.1+0.04</f>
        <v>88.1</v>
      </c>
      <c r="H201" s="55">
        <v>2849.9</v>
      </c>
      <c r="I201" s="55"/>
      <c r="J201" s="52">
        <f t="shared" si="120"/>
        <v>0</v>
      </c>
      <c r="K201" s="55"/>
      <c r="L201" s="55"/>
      <c r="M201" s="55"/>
      <c r="N201" s="52">
        <f t="shared" si="120"/>
        <v>12418</v>
      </c>
      <c r="O201" s="55">
        <f>372.5+0.04</f>
        <v>372.5</v>
      </c>
      <c r="P201" s="55">
        <v>12045.5</v>
      </c>
      <c r="Q201" s="55"/>
      <c r="R201" s="52">
        <f t="shared" si="120"/>
        <v>101083</v>
      </c>
      <c r="S201" s="55">
        <f>3032.5-0.01</f>
        <v>3032.5</v>
      </c>
      <c r="T201" s="55">
        <v>98050.5</v>
      </c>
      <c r="U201" s="55"/>
      <c r="V201" s="73">
        <f t="shared" si="110"/>
        <v>0</v>
      </c>
    </row>
    <row r="202" spans="1:22" ht="49.5">
      <c r="A202" s="56" t="s">
        <v>151</v>
      </c>
      <c r="B202" s="15" t="s">
        <v>152</v>
      </c>
      <c r="C202" s="6" t="s">
        <v>14</v>
      </c>
      <c r="D202" s="6" t="s">
        <v>14</v>
      </c>
      <c r="E202" s="6" t="s">
        <v>14</v>
      </c>
      <c r="F202" s="51">
        <f t="shared" ref="F202:U202" si="121">SUM(F204:F207)</f>
        <v>120174.8</v>
      </c>
      <c r="G202" s="51">
        <f t="shared" si="121"/>
        <v>3579.4</v>
      </c>
      <c r="H202" s="51">
        <f t="shared" si="121"/>
        <v>115733.1</v>
      </c>
      <c r="I202" s="51">
        <f t="shared" si="121"/>
        <v>862.3</v>
      </c>
      <c r="J202" s="51">
        <f t="shared" si="121"/>
        <v>0</v>
      </c>
      <c r="K202" s="51">
        <f t="shared" si="121"/>
        <v>0</v>
      </c>
      <c r="L202" s="51">
        <f t="shared" si="121"/>
        <v>0</v>
      </c>
      <c r="M202" s="51">
        <f t="shared" si="121"/>
        <v>0</v>
      </c>
      <c r="N202" s="51">
        <f t="shared" si="121"/>
        <v>68164.7</v>
      </c>
      <c r="O202" s="51">
        <f t="shared" si="121"/>
        <v>2045</v>
      </c>
      <c r="P202" s="51">
        <f t="shared" si="121"/>
        <v>66119.199999999997</v>
      </c>
      <c r="Q202" s="51">
        <f t="shared" si="121"/>
        <v>0.5</v>
      </c>
      <c r="R202" s="51">
        <f t="shared" si="121"/>
        <v>76712.800000000003</v>
      </c>
      <c r="S202" s="51">
        <f t="shared" si="121"/>
        <v>2301.4</v>
      </c>
      <c r="T202" s="51">
        <f t="shared" si="121"/>
        <v>74410.899999999994</v>
      </c>
      <c r="U202" s="51">
        <f t="shared" si="121"/>
        <v>0.5</v>
      </c>
      <c r="V202" s="70">
        <f t="shared" si="110"/>
        <v>0</v>
      </c>
    </row>
    <row r="203" spans="1:22" ht="18.75">
      <c r="A203" s="57"/>
      <c r="B203" s="18" t="s">
        <v>17</v>
      </c>
      <c r="C203" s="7"/>
      <c r="D203" s="7"/>
      <c r="E203" s="7"/>
      <c r="F203" s="51"/>
      <c r="G203" s="49"/>
      <c r="H203" s="49"/>
      <c r="I203" s="49"/>
      <c r="J203" s="51"/>
      <c r="K203" s="49"/>
      <c r="L203" s="49"/>
      <c r="M203" s="49"/>
      <c r="N203" s="51"/>
      <c r="O203" s="49"/>
      <c r="P203" s="49"/>
      <c r="Q203" s="49"/>
      <c r="R203" s="51"/>
      <c r="S203" s="49"/>
      <c r="T203" s="49"/>
      <c r="U203" s="49"/>
      <c r="V203" s="69"/>
    </row>
    <row r="204" spans="1:22" ht="132">
      <c r="A204" s="59"/>
      <c r="B204" s="34" t="s">
        <v>186</v>
      </c>
      <c r="C204" s="31">
        <v>840</v>
      </c>
      <c r="D204" s="33" t="s">
        <v>96</v>
      </c>
      <c r="E204" s="31" t="s">
        <v>183</v>
      </c>
      <c r="F204" s="49">
        <f t="shared" ref="F204:R207" si="122">G204+H204+I204</f>
        <v>0</v>
      </c>
      <c r="G204" s="53">
        <f>2902.3-2902.3</f>
        <v>0</v>
      </c>
      <c r="H204" s="53">
        <f>93841.7-93841.7</f>
        <v>0</v>
      </c>
      <c r="I204" s="53"/>
      <c r="J204" s="49">
        <f t="shared" si="122"/>
        <v>0</v>
      </c>
      <c r="K204" s="53"/>
      <c r="L204" s="53"/>
      <c r="M204" s="53"/>
      <c r="N204" s="49">
        <f t="shared" si="122"/>
        <v>0</v>
      </c>
      <c r="O204" s="53">
        <f>1312-1312</f>
        <v>0</v>
      </c>
      <c r="P204" s="53">
        <f>42419.9-42419.9</f>
        <v>0</v>
      </c>
      <c r="Q204" s="53"/>
      <c r="R204" s="49">
        <f t="shared" si="122"/>
        <v>0</v>
      </c>
      <c r="S204" s="53">
        <f>1314.7+47.7-1362.37</f>
        <v>0</v>
      </c>
      <c r="T204" s="53">
        <f>44049.5-44049.5</f>
        <v>0</v>
      </c>
      <c r="U204" s="53"/>
      <c r="V204" s="72"/>
    </row>
    <row r="205" spans="1:22" ht="148.5">
      <c r="A205" s="59"/>
      <c r="B205" s="34" t="s">
        <v>187</v>
      </c>
      <c r="C205" s="31">
        <v>840</v>
      </c>
      <c r="D205" s="33" t="s">
        <v>96</v>
      </c>
      <c r="E205" s="31" t="s">
        <v>184</v>
      </c>
      <c r="F205" s="49">
        <f t="shared" si="122"/>
        <v>17245.2</v>
      </c>
      <c r="G205" s="53">
        <f>491.5-0.01</f>
        <v>491.5</v>
      </c>
      <c r="H205" s="53">
        <v>15891.4</v>
      </c>
      <c r="I205" s="53">
        <v>862.3</v>
      </c>
      <c r="J205" s="49">
        <f t="shared" si="122"/>
        <v>0</v>
      </c>
      <c r="K205" s="53"/>
      <c r="L205" s="53"/>
      <c r="M205" s="53"/>
      <c r="N205" s="49">
        <f t="shared" si="122"/>
        <v>21546.2</v>
      </c>
      <c r="O205" s="53">
        <f>646.4-0.03</f>
        <v>646.4</v>
      </c>
      <c r="P205" s="53">
        <v>20899.3</v>
      </c>
      <c r="Q205" s="53">
        <v>0.5</v>
      </c>
      <c r="R205" s="49">
        <f t="shared" si="122"/>
        <v>28620.5</v>
      </c>
      <c r="S205" s="53">
        <v>858.6</v>
      </c>
      <c r="T205" s="53">
        <v>27761.4</v>
      </c>
      <c r="U205" s="53">
        <v>0.5</v>
      </c>
      <c r="V205" s="72">
        <f t="shared" si="110"/>
        <v>0</v>
      </c>
    </row>
    <row r="206" spans="1:22" ht="99">
      <c r="A206" s="59"/>
      <c r="B206" s="34" t="s">
        <v>189</v>
      </c>
      <c r="C206" s="31">
        <v>840</v>
      </c>
      <c r="D206" s="33" t="s">
        <v>96</v>
      </c>
      <c r="E206" s="31" t="s">
        <v>188</v>
      </c>
      <c r="F206" s="49">
        <f t="shared" si="122"/>
        <v>6185.6</v>
      </c>
      <c r="G206" s="53">
        <v>185.6</v>
      </c>
      <c r="H206" s="53">
        <v>6000</v>
      </c>
      <c r="I206" s="53"/>
      <c r="J206" s="49">
        <f t="shared" si="122"/>
        <v>0</v>
      </c>
      <c r="K206" s="53"/>
      <c r="L206" s="53"/>
      <c r="M206" s="53"/>
      <c r="N206" s="49">
        <f t="shared" si="122"/>
        <v>2886.6</v>
      </c>
      <c r="O206" s="53">
        <v>86.6</v>
      </c>
      <c r="P206" s="53">
        <v>2800</v>
      </c>
      <c r="Q206" s="53"/>
      <c r="R206" s="49">
        <f t="shared" si="122"/>
        <v>2680.4</v>
      </c>
      <c r="S206" s="53">
        <v>80.400000000000006</v>
      </c>
      <c r="T206" s="53">
        <v>2600</v>
      </c>
      <c r="U206" s="53"/>
      <c r="V206" s="72">
        <f t="shared" si="110"/>
        <v>0</v>
      </c>
    </row>
    <row r="207" spans="1:22" ht="99" customHeight="1">
      <c r="A207" s="59"/>
      <c r="B207" s="34" t="s">
        <v>380</v>
      </c>
      <c r="C207" s="31">
        <v>840</v>
      </c>
      <c r="D207" s="33" t="s">
        <v>96</v>
      </c>
      <c r="E207" s="31" t="s">
        <v>381</v>
      </c>
      <c r="F207" s="49">
        <f t="shared" si="122"/>
        <v>96744</v>
      </c>
      <c r="G207" s="53">
        <v>2902.3</v>
      </c>
      <c r="H207" s="53">
        <v>93841.7</v>
      </c>
      <c r="I207" s="53"/>
      <c r="J207" s="49">
        <f t="shared" si="122"/>
        <v>0</v>
      </c>
      <c r="K207" s="53"/>
      <c r="L207" s="53"/>
      <c r="M207" s="53"/>
      <c r="N207" s="49">
        <f t="shared" si="122"/>
        <v>43731.9</v>
      </c>
      <c r="O207" s="53">
        <v>1312</v>
      </c>
      <c r="P207" s="53">
        <v>42419.9</v>
      </c>
      <c r="Q207" s="53"/>
      <c r="R207" s="49">
        <f t="shared" si="122"/>
        <v>45411.9</v>
      </c>
      <c r="S207" s="53">
        <v>1362.4</v>
      </c>
      <c r="T207" s="53">
        <v>44049.5</v>
      </c>
      <c r="U207" s="53"/>
      <c r="V207" s="72">
        <f t="shared" si="110"/>
        <v>0</v>
      </c>
    </row>
    <row r="208" spans="1:22" ht="33">
      <c r="A208" s="43" t="s">
        <v>153</v>
      </c>
      <c r="B208" s="28" t="s">
        <v>154</v>
      </c>
      <c r="C208" s="29" t="s">
        <v>14</v>
      </c>
      <c r="D208" s="45" t="s">
        <v>14</v>
      </c>
      <c r="E208" s="29" t="s">
        <v>14</v>
      </c>
      <c r="F208" s="49">
        <f t="shared" ref="F208:U208" si="123">SUM(F210:F210)</f>
        <v>9312</v>
      </c>
      <c r="G208" s="49">
        <f t="shared" si="123"/>
        <v>279.39999999999998</v>
      </c>
      <c r="H208" s="49">
        <f t="shared" si="123"/>
        <v>9032.6</v>
      </c>
      <c r="I208" s="49">
        <f t="shared" si="123"/>
        <v>0</v>
      </c>
      <c r="J208" s="49">
        <f t="shared" si="123"/>
        <v>0</v>
      </c>
      <c r="K208" s="49">
        <f t="shared" si="123"/>
        <v>0</v>
      </c>
      <c r="L208" s="49">
        <f t="shared" si="123"/>
        <v>0</v>
      </c>
      <c r="M208" s="49">
        <f t="shared" si="123"/>
        <v>0</v>
      </c>
      <c r="N208" s="49">
        <f t="shared" si="123"/>
        <v>4656</v>
      </c>
      <c r="O208" s="49">
        <f t="shared" si="123"/>
        <v>139.69999999999999</v>
      </c>
      <c r="P208" s="49">
        <f t="shared" si="123"/>
        <v>4516.3</v>
      </c>
      <c r="Q208" s="49">
        <f t="shared" si="123"/>
        <v>0</v>
      </c>
      <c r="R208" s="49">
        <f t="shared" si="123"/>
        <v>7449.6</v>
      </c>
      <c r="S208" s="49">
        <f t="shared" si="123"/>
        <v>223.5</v>
      </c>
      <c r="T208" s="49">
        <f t="shared" si="123"/>
        <v>7226.1</v>
      </c>
      <c r="U208" s="49">
        <f t="shared" si="123"/>
        <v>0</v>
      </c>
      <c r="V208" s="69">
        <f t="shared" si="110"/>
        <v>0</v>
      </c>
    </row>
    <row r="209" spans="1:22" ht="18.75">
      <c r="A209" s="59"/>
      <c r="B209" s="32" t="s">
        <v>17</v>
      </c>
      <c r="C209" s="31"/>
      <c r="D209" s="33"/>
      <c r="E209" s="31"/>
      <c r="F209" s="49"/>
      <c r="G209" s="49"/>
      <c r="H209" s="49"/>
      <c r="I209" s="49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69"/>
    </row>
    <row r="210" spans="1:22" ht="165">
      <c r="A210" s="59"/>
      <c r="B210" s="34" t="s">
        <v>191</v>
      </c>
      <c r="C210" s="31">
        <v>840</v>
      </c>
      <c r="D210" s="33" t="s">
        <v>96</v>
      </c>
      <c r="E210" s="31" t="s">
        <v>190</v>
      </c>
      <c r="F210" s="49">
        <f t="shared" ref="F210:N210" si="124">G210+H210+I210</f>
        <v>9312</v>
      </c>
      <c r="G210" s="53">
        <f>279.4-0.04</f>
        <v>279.39999999999998</v>
      </c>
      <c r="H210" s="53">
        <v>9032.6</v>
      </c>
      <c r="I210" s="53"/>
      <c r="J210" s="49">
        <f t="shared" si="124"/>
        <v>0</v>
      </c>
      <c r="K210" s="53"/>
      <c r="L210" s="53"/>
      <c r="M210" s="53"/>
      <c r="N210" s="49">
        <f t="shared" si="124"/>
        <v>4656</v>
      </c>
      <c r="O210" s="53">
        <f>139.7-0.02</f>
        <v>139.69999999999999</v>
      </c>
      <c r="P210" s="53">
        <v>4516.3</v>
      </c>
      <c r="Q210" s="53"/>
      <c r="R210" s="49">
        <f>S210+T210+U210</f>
        <v>7449.6</v>
      </c>
      <c r="S210" s="53">
        <f>223.5-0.01</f>
        <v>223.5</v>
      </c>
      <c r="T210" s="53">
        <v>7226.1</v>
      </c>
      <c r="U210" s="53"/>
      <c r="V210" s="72">
        <f t="shared" si="110"/>
        <v>0</v>
      </c>
    </row>
    <row r="211" spans="1:22" ht="49.5">
      <c r="A211" s="56" t="s">
        <v>155</v>
      </c>
      <c r="B211" s="15" t="s">
        <v>156</v>
      </c>
      <c r="C211" s="6" t="s">
        <v>14</v>
      </c>
      <c r="D211" s="4" t="s">
        <v>14</v>
      </c>
      <c r="E211" s="6" t="s">
        <v>14</v>
      </c>
      <c r="F211" s="51">
        <f t="shared" ref="F211:U211" si="125">SUM(F213:F216)</f>
        <v>29035</v>
      </c>
      <c r="G211" s="51">
        <f t="shared" si="125"/>
        <v>1861</v>
      </c>
      <c r="H211" s="51">
        <f t="shared" si="125"/>
        <v>27174</v>
      </c>
      <c r="I211" s="51">
        <f t="shared" si="125"/>
        <v>0</v>
      </c>
      <c r="J211" s="51">
        <f t="shared" si="125"/>
        <v>1741.6</v>
      </c>
      <c r="K211" s="51">
        <f t="shared" si="125"/>
        <v>335.1</v>
      </c>
      <c r="L211" s="51">
        <f t="shared" si="125"/>
        <v>1406.5</v>
      </c>
      <c r="M211" s="51">
        <f t="shared" si="125"/>
        <v>0</v>
      </c>
      <c r="N211" s="51">
        <f t="shared" si="125"/>
        <v>25202.2</v>
      </c>
      <c r="O211" s="51">
        <f t="shared" si="125"/>
        <v>756.1</v>
      </c>
      <c r="P211" s="51">
        <f t="shared" si="125"/>
        <v>24446.1</v>
      </c>
      <c r="Q211" s="51">
        <f t="shared" si="125"/>
        <v>0</v>
      </c>
      <c r="R211" s="51">
        <f t="shared" si="125"/>
        <v>33386.300000000003</v>
      </c>
      <c r="S211" s="51">
        <f t="shared" si="125"/>
        <v>1001.6</v>
      </c>
      <c r="T211" s="51">
        <f t="shared" si="125"/>
        <v>32384.7</v>
      </c>
      <c r="U211" s="51">
        <f t="shared" si="125"/>
        <v>0</v>
      </c>
      <c r="V211" s="70">
        <f t="shared" si="110"/>
        <v>0.06</v>
      </c>
    </row>
    <row r="212" spans="1:22" ht="18.75">
      <c r="A212" s="59"/>
      <c r="B212" s="34" t="s">
        <v>17</v>
      </c>
      <c r="C212" s="31"/>
      <c r="D212" s="33"/>
      <c r="E212" s="31"/>
      <c r="F212" s="49"/>
      <c r="G212" s="49"/>
      <c r="H212" s="49"/>
      <c r="I212" s="49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69"/>
    </row>
    <row r="213" spans="1:22" ht="82.5">
      <c r="A213" s="59"/>
      <c r="B213" s="34" t="s">
        <v>158</v>
      </c>
      <c r="C213" s="31">
        <v>817</v>
      </c>
      <c r="D213" s="33" t="s">
        <v>157</v>
      </c>
      <c r="E213" s="31" t="s">
        <v>206</v>
      </c>
      <c r="F213" s="49">
        <f t="shared" ref="F213:R216" si="126">G213+H213+I213</f>
        <v>21649.5</v>
      </c>
      <c r="G213" s="53">
        <v>649.5</v>
      </c>
      <c r="H213" s="53">
        <v>21000</v>
      </c>
      <c r="I213" s="53"/>
      <c r="J213" s="49">
        <f t="shared" si="126"/>
        <v>0</v>
      </c>
      <c r="K213" s="53"/>
      <c r="L213" s="53"/>
      <c r="M213" s="53"/>
      <c r="N213" s="49">
        <f t="shared" si="126"/>
        <v>20618.599999999999</v>
      </c>
      <c r="O213" s="53">
        <v>618.6</v>
      </c>
      <c r="P213" s="53">
        <v>20000</v>
      </c>
      <c r="Q213" s="53"/>
      <c r="R213" s="49">
        <f t="shared" si="126"/>
        <v>27835.1</v>
      </c>
      <c r="S213" s="53">
        <v>835.1</v>
      </c>
      <c r="T213" s="53">
        <v>27000</v>
      </c>
      <c r="U213" s="53"/>
      <c r="V213" s="72">
        <f t="shared" si="110"/>
        <v>0</v>
      </c>
    </row>
    <row r="214" spans="1:22" ht="82.5">
      <c r="A214" s="59"/>
      <c r="B214" s="34" t="s">
        <v>159</v>
      </c>
      <c r="C214" s="31">
        <v>817</v>
      </c>
      <c r="D214" s="33" t="s">
        <v>157</v>
      </c>
      <c r="E214" s="31" t="s">
        <v>207</v>
      </c>
      <c r="F214" s="49">
        <f t="shared" si="126"/>
        <v>3092.8</v>
      </c>
      <c r="G214" s="53">
        <f>92.8</f>
        <v>92.8</v>
      </c>
      <c r="H214" s="53">
        <v>3000</v>
      </c>
      <c r="I214" s="53"/>
      <c r="J214" s="49">
        <f t="shared" si="126"/>
        <v>1450</v>
      </c>
      <c r="K214" s="53">
        <f>33+10.5</f>
        <v>43.5</v>
      </c>
      <c r="L214" s="53">
        <f>388+339.5+339.5+339.5</f>
        <v>1406.5</v>
      </c>
      <c r="M214" s="53"/>
      <c r="N214" s="49">
        <f t="shared" si="126"/>
        <v>3092.8</v>
      </c>
      <c r="O214" s="53">
        <f>92.8</f>
        <v>92.8</v>
      </c>
      <c r="P214" s="53">
        <v>3000</v>
      </c>
      <c r="Q214" s="53"/>
      <c r="R214" s="49">
        <f t="shared" si="126"/>
        <v>3092.8</v>
      </c>
      <c r="S214" s="53">
        <v>92.8</v>
      </c>
      <c r="T214" s="53">
        <v>3000</v>
      </c>
      <c r="U214" s="53"/>
      <c r="V214" s="72">
        <f t="shared" si="110"/>
        <v>0.46899999999999997</v>
      </c>
    </row>
    <row r="215" spans="1:22" ht="82.5">
      <c r="A215" s="59"/>
      <c r="B215" s="34" t="s">
        <v>209</v>
      </c>
      <c r="C215" s="31">
        <v>817</v>
      </c>
      <c r="D215" s="33" t="s">
        <v>157</v>
      </c>
      <c r="E215" s="31" t="s">
        <v>208</v>
      </c>
      <c r="F215" s="49">
        <f t="shared" si="126"/>
        <v>3272.1</v>
      </c>
      <c r="G215" s="53">
        <v>98.1</v>
      </c>
      <c r="H215" s="53">
        <v>3174</v>
      </c>
      <c r="I215" s="53"/>
      <c r="J215" s="49">
        <f t="shared" si="126"/>
        <v>0</v>
      </c>
      <c r="K215" s="53"/>
      <c r="L215" s="53"/>
      <c r="M215" s="53"/>
      <c r="N215" s="49">
        <f t="shared" si="126"/>
        <v>1490.8</v>
      </c>
      <c r="O215" s="53">
        <v>44.7</v>
      </c>
      <c r="P215" s="53">
        <v>1446.1</v>
      </c>
      <c r="Q215" s="53"/>
      <c r="R215" s="49">
        <f t="shared" si="126"/>
        <v>2458.4</v>
      </c>
      <c r="S215" s="53">
        <v>73.7</v>
      </c>
      <c r="T215" s="53">
        <v>2384.6999999999998</v>
      </c>
      <c r="U215" s="53"/>
      <c r="V215" s="72">
        <f t="shared" si="110"/>
        <v>0</v>
      </c>
    </row>
    <row r="216" spans="1:22" ht="82.5">
      <c r="A216" s="59"/>
      <c r="B216" s="34" t="s">
        <v>159</v>
      </c>
      <c r="C216" s="31">
        <v>817</v>
      </c>
      <c r="D216" s="33" t="s">
        <v>157</v>
      </c>
      <c r="E216" s="31" t="s">
        <v>382</v>
      </c>
      <c r="F216" s="49">
        <f t="shared" si="126"/>
        <v>1020.6</v>
      </c>
      <c r="G216" s="53">
        <v>1020.6</v>
      </c>
      <c r="H216" s="53"/>
      <c r="I216" s="53"/>
      <c r="J216" s="49">
        <f t="shared" si="126"/>
        <v>291.60000000000002</v>
      </c>
      <c r="K216" s="53">
        <f>145.8+145.8</f>
        <v>291.60000000000002</v>
      </c>
      <c r="L216" s="53"/>
      <c r="M216" s="53"/>
      <c r="N216" s="49">
        <f t="shared" si="126"/>
        <v>0</v>
      </c>
      <c r="O216" s="53"/>
      <c r="P216" s="53"/>
      <c r="Q216" s="53"/>
      <c r="R216" s="49">
        <f t="shared" si="126"/>
        <v>0</v>
      </c>
      <c r="S216" s="53"/>
      <c r="T216" s="53"/>
      <c r="U216" s="53"/>
      <c r="V216" s="72">
        <f t="shared" si="110"/>
        <v>0.28599999999999998</v>
      </c>
    </row>
    <row r="217" spans="1:22" ht="49.5">
      <c r="A217" s="58" t="s">
        <v>160</v>
      </c>
      <c r="B217" s="22" t="s">
        <v>161</v>
      </c>
      <c r="C217" s="1" t="s">
        <v>14</v>
      </c>
      <c r="D217" s="1" t="s">
        <v>14</v>
      </c>
      <c r="E217" s="1" t="s">
        <v>14</v>
      </c>
      <c r="F217" s="48">
        <f t="shared" ref="F217:U217" si="127">F218+F222</f>
        <v>111937.1</v>
      </c>
      <c r="G217" s="48">
        <f t="shared" si="127"/>
        <v>21370.2</v>
      </c>
      <c r="H217" s="48">
        <f t="shared" si="127"/>
        <v>90566.9</v>
      </c>
      <c r="I217" s="48">
        <f t="shared" si="127"/>
        <v>0</v>
      </c>
      <c r="J217" s="48">
        <f t="shared" si="127"/>
        <v>14915.6</v>
      </c>
      <c r="K217" s="48">
        <f t="shared" si="127"/>
        <v>3931.7</v>
      </c>
      <c r="L217" s="48">
        <f t="shared" si="127"/>
        <v>10983.9</v>
      </c>
      <c r="M217" s="48">
        <f t="shared" si="127"/>
        <v>0</v>
      </c>
      <c r="N217" s="48">
        <f t="shared" si="127"/>
        <v>48885.7</v>
      </c>
      <c r="O217" s="48">
        <f t="shared" si="127"/>
        <v>14265.1</v>
      </c>
      <c r="P217" s="48">
        <f t="shared" si="127"/>
        <v>34620.6</v>
      </c>
      <c r="Q217" s="48">
        <f t="shared" si="127"/>
        <v>0</v>
      </c>
      <c r="R217" s="48">
        <f t="shared" si="127"/>
        <v>45776.1</v>
      </c>
      <c r="S217" s="48">
        <f t="shared" si="127"/>
        <v>14200.8</v>
      </c>
      <c r="T217" s="48">
        <f t="shared" si="127"/>
        <v>31575.3</v>
      </c>
      <c r="U217" s="48">
        <f t="shared" si="127"/>
        <v>0</v>
      </c>
      <c r="V217" s="68">
        <f t="shared" si="110"/>
        <v>0.13300000000000001</v>
      </c>
    </row>
    <row r="218" spans="1:22" ht="66">
      <c r="A218" s="56" t="s">
        <v>162</v>
      </c>
      <c r="B218" s="15" t="s">
        <v>163</v>
      </c>
      <c r="C218" s="6" t="s">
        <v>14</v>
      </c>
      <c r="D218" s="6" t="s">
        <v>14</v>
      </c>
      <c r="E218" s="6" t="s">
        <v>14</v>
      </c>
      <c r="F218" s="51">
        <f t="shared" ref="F218:U218" si="128">SUM(F220:F221)</f>
        <v>46794.2</v>
      </c>
      <c r="G218" s="49">
        <f t="shared" si="128"/>
        <v>6320.9</v>
      </c>
      <c r="H218" s="49">
        <f t="shared" si="128"/>
        <v>40473.300000000003</v>
      </c>
      <c r="I218" s="49">
        <f t="shared" si="128"/>
        <v>0</v>
      </c>
      <c r="J218" s="51">
        <f t="shared" si="128"/>
        <v>13174.4</v>
      </c>
      <c r="K218" s="49">
        <f t="shared" si="128"/>
        <v>2468.1999999999998</v>
      </c>
      <c r="L218" s="49">
        <f t="shared" si="128"/>
        <v>10706.2</v>
      </c>
      <c r="M218" s="49">
        <f t="shared" si="128"/>
        <v>0</v>
      </c>
      <c r="N218" s="51">
        <f t="shared" si="128"/>
        <v>9881.7999999999993</v>
      </c>
      <c r="O218" s="49">
        <f t="shared" si="128"/>
        <v>0</v>
      </c>
      <c r="P218" s="49">
        <f t="shared" si="128"/>
        <v>9881.7999999999993</v>
      </c>
      <c r="Q218" s="49">
        <f t="shared" si="128"/>
        <v>0</v>
      </c>
      <c r="R218" s="51">
        <f t="shared" si="128"/>
        <v>8916.6</v>
      </c>
      <c r="S218" s="49">
        <f t="shared" si="128"/>
        <v>0</v>
      </c>
      <c r="T218" s="49">
        <f t="shared" si="128"/>
        <v>8916.6</v>
      </c>
      <c r="U218" s="49">
        <f t="shared" si="128"/>
        <v>0</v>
      </c>
      <c r="V218" s="69">
        <f t="shared" si="110"/>
        <v>0.28199999999999997</v>
      </c>
    </row>
    <row r="219" spans="1:22" ht="18.75">
      <c r="A219" s="59"/>
      <c r="B219" s="32" t="s">
        <v>17</v>
      </c>
      <c r="C219" s="31"/>
      <c r="D219" s="31"/>
      <c r="E219" s="31"/>
      <c r="F219" s="49"/>
      <c r="G219" s="49"/>
      <c r="H219" s="49"/>
      <c r="I219" s="49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69"/>
    </row>
    <row r="220" spans="1:22" ht="99">
      <c r="A220" s="59"/>
      <c r="B220" s="34" t="s">
        <v>192</v>
      </c>
      <c r="C220" s="31">
        <v>840</v>
      </c>
      <c r="D220" s="33" t="s">
        <v>96</v>
      </c>
      <c r="E220" s="31" t="s">
        <v>193</v>
      </c>
      <c r="F220" s="49">
        <f t="shared" ref="F220:R221" si="129">G220+H220+I220</f>
        <v>42573.3</v>
      </c>
      <c r="G220" s="53">
        <f>9100-7000</f>
        <v>2100</v>
      </c>
      <c r="H220" s="53">
        <v>40473.300000000003</v>
      </c>
      <c r="I220" s="53"/>
      <c r="J220" s="49">
        <f t="shared" si="129"/>
        <v>12706.2</v>
      </c>
      <c r="K220" s="53">
        <v>2000</v>
      </c>
      <c r="L220" s="53">
        <v>10706.2</v>
      </c>
      <c r="M220" s="53"/>
      <c r="N220" s="49">
        <f t="shared" si="129"/>
        <v>9881.7999999999993</v>
      </c>
      <c r="O220" s="53"/>
      <c r="P220" s="53">
        <v>9881.7999999999993</v>
      </c>
      <c r="Q220" s="53"/>
      <c r="R220" s="49">
        <f t="shared" si="129"/>
        <v>8916.6</v>
      </c>
      <c r="S220" s="53"/>
      <c r="T220" s="53">
        <v>8916.6</v>
      </c>
      <c r="U220" s="53"/>
      <c r="V220" s="72">
        <f t="shared" si="110"/>
        <v>0.29799999999999999</v>
      </c>
    </row>
    <row r="221" spans="1:22" ht="66">
      <c r="A221" s="59"/>
      <c r="B221" s="34" t="s">
        <v>356</v>
      </c>
      <c r="C221" s="31">
        <v>816</v>
      </c>
      <c r="D221" s="33" t="s">
        <v>72</v>
      </c>
      <c r="E221" s="31" t="s">
        <v>357</v>
      </c>
      <c r="F221" s="49">
        <f t="shared" si="129"/>
        <v>4220.8999999999996</v>
      </c>
      <c r="G221" s="53">
        <f>4351.4-130.5</f>
        <v>4220.8999999999996</v>
      </c>
      <c r="H221" s="53"/>
      <c r="I221" s="53"/>
      <c r="J221" s="49">
        <f t="shared" si="129"/>
        <v>468.2</v>
      </c>
      <c r="K221" s="53">
        <f>124.2+79.1+264.92</f>
        <v>468.2</v>
      </c>
      <c r="L221" s="53"/>
      <c r="M221" s="53"/>
      <c r="N221" s="49">
        <f t="shared" si="129"/>
        <v>0</v>
      </c>
      <c r="O221" s="53"/>
      <c r="P221" s="53"/>
      <c r="Q221" s="53"/>
      <c r="R221" s="49">
        <f t="shared" si="129"/>
        <v>0</v>
      </c>
      <c r="S221" s="53"/>
      <c r="T221" s="53"/>
      <c r="U221" s="53"/>
      <c r="V221" s="72">
        <f t="shared" si="110"/>
        <v>0.111</v>
      </c>
    </row>
    <row r="222" spans="1:22" ht="69.75" customHeight="1">
      <c r="A222" s="28" t="s">
        <v>164</v>
      </c>
      <c r="B222" s="28" t="s">
        <v>165</v>
      </c>
      <c r="C222" s="29" t="s">
        <v>14</v>
      </c>
      <c r="D222" s="29" t="s">
        <v>14</v>
      </c>
      <c r="E222" s="46" t="s">
        <v>14</v>
      </c>
      <c r="F222" s="49">
        <f t="shared" ref="F222:U222" si="130">SUM(F224:F226)</f>
        <v>65142.9</v>
      </c>
      <c r="G222" s="49">
        <f t="shared" si="130"/>
        <v>15049.3</v>
      </c>
      <c r="H222" s="49">
        <f t="shared" si="130"/>
        <v>50093.599999999999</v>
      </c>
      <c r="I222" s="49">
        <f t="shared" si="130"/>
        <v>0</v>
      </c>
      <c r="J222" s="49">
        <f t="shared" si="130"/>
        <v>1741.2</v>
      </c>
      <c r="K222" s="49">
        <f t="shared" si="130"/>
        <v>1463.5</v>
      </c>
      <c r="L222" s="49">
        <f t="shared" si="130"/>
        <v>277.7</v>
      </c>
      <c r="M222" s="49">
        <f t="shared" si="130"/>
        <v>0</v>
      </c>
      <c r="N222" s="49">
        <f t="shared" si="130"/>
        <v>39003.9</v>
      </c>
      <c r="O222" s="49">
        <f t="shared" si="130"/>
        <v>14265.1</v>
      </c>
      <c r="P222" s="49">
        <f t="shared" si="130"/>
        <v>24738.799999999999</v>
      </c>
      <c r="Q222" s="49">
        <f t="shared" si="130"/>
        <v>0</v>
      </c>
      <c r="R222" s="49">
        <f t="shared" si="130"/>
        <v>36859.5</v>
      </c>
      <c r="S222" s="49">
        <f t="shared" si="130"/>
        <v>14200.8</v>
      </c>
      <c r="T222" s="49">
        <f t="shared" si="130"/>
        <v>22658.7</v>
      </c>
      <c r="U222" s="49">
        <f t="shared" si="130"/>
        <v>0</v>
      </c>
      <c r="V222" s="69">
        <f t="shared" si="110"/>
        <v>2.7E-2</v>
      </c>
    </row>
    <row r="223" spans="1:22" ht="18.75">
      <c r="A223" s="59"/>
      <c r="B223" s="32" t="s">
        <v>17</v>
      </c>
      <c r="C223" s="31"/>
      <c r="D223" s="33"/>
      <c r="E223" s="31"/>
      <c r="F223" s="49"/>
      <c r="G223" s="49"/>
      <c r="H223" s="49"/>
      <c r="I223" s="49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69"/>
    </row>
    <row r="224" spans="1:22" ht="132">
      <c r="A224" s="59"/>
      <c r="B224" s="34" t="s">
        <v>198</v>
      </c>
      <c r="C224" s="31">
        <v>839</v>
      </c>
      <c r="D224" s="33" t="s">
        <v>18</v>
      </c>
      <c r="E224" s="31" t="s">
        <v>199</v>
      </c>
      <c r="F224" s="49">
        <f t="shared" ref="F224:R226" si="131">G224+H224+I224</f>
        <v>4223.7</v>
      </c>
      <c r="G224" s="53">
        <v>126.7</v>
      </c>
      <c r="H224" s="53">
        <v>4097</v>
      </c>
      <c r="I224" s="53"/>
      <c r="J224" s="49">
        <f t="shared" si="131"/>
        <v>0</v>
      </c>
      <c r="K224" s="53"/>
      <c r="L224" s="53"/>
      <c r="M224" s="53"/>
      <c r="N224" s="49">
        <f t="shared" si="131"/>
        <v>4257.1000000000004</v>
      </c>
      <c r="O224" s="53">
        <v>127.7</v>
      </c>
      <c r="P224" s="53">
        <v>4129.3999999999996</v>
      </c>
      <c r="Q224" s="53"/>
      <c r="R224" s="49">
        <f t="shared" si="131"/>
        <v>4257.1000000000004</v>
      </c>
      <c r="S224" s="53">
        <v>127.7</v>
      </c>
      <c r="T224" s="53">
        <v>4129.3999999999996</v>
      </c>
      <c r="U224" s="53"/>
      <c r="V224" s="72">
        <f t="shared" si="110"/>
        <v>0</v>
      </c>
    </row>
    <row r="225" spans="1:22" ht="115.5">
      <c r="A225" s="59"/>
      <c r="B225" s="34" t="s">
        <v>197</v>
      </c>
      <c r="C225" s="31">
        <v>839</v>
      </c>
      <c r="D225" s="33" t="s">
        <v>18</v>
      </c>
      <c r="E225" s="31" t="s">
        <v>196</v>
      </c>
      <c r="F225" s="49">
        <f t="shared" si="131"/>
        <v>17419.2</v>
      </c>
      <c r="G225" s="53">
        <v>522.6</v>
      </c>
      <c r="H225" s="53">
        <v>16896.599999999999</v>
      </c>
      <c r="I225" s="53"/>
      <c r="J225" s="49">
        <f t="shared" si="131"/>
        <v>0</v>
      </c>
      <c r="K225" s="53"/>
      <c r="L225" s="53"/>
      <c r="M225" s="53"/>
      <c r="N225" s="49">
        <f t="shared" si="131"/>
        <v>13946.8</v>
      </c>
      <c r="O225" s="53">
        <v>418.4</v>
      </c>
      <c r="P225" s="53">
        <v>13528.4</v>
      </c>
      <c r="Q225" s="53"/>
      <c r="R225" s="49">
        <f t="shared" si="131"/>
        <v>11102.4</v>
      </c>
      <c r="S225" s="53">
        <v>333.1</v>
      </c>
      <c r="T225" s="53">
        <v>10769.3</v>
      </c>
      <c r="U225" s="53"/>
      <c r="V225" s="72">
        <f t="shared" si="110"/>
        <v>0</v>
      </c>
    </row>
    <row r="226" spans="1:22" ht="49.5">
      <c r="A226" s="59"/>
      <c r="B226" s="34" t="s">
        <v>194</v>
      </c>
      <c r="C226" s="31">
        <v>839</v>
      </c>
      <c r="D226" s="33" t="s">
        <v>18</v>
      </c>
      <c r="E226" s="31" t="s">
        <v>195</v>
      </c>
      <c r="F226" s="49">
        <f t="shared" si="131"/>
        <v>43500</v>
      </c>
      <c r="G226" s="53">
        <v>14400</v>
      </c>
      <c r="H226" s="53">
        <v>29100</v>
      </c>
      <c r="I226" s="53"/>
      <c r="J226" s="49">
        <f t="shared" si="131"/>
        <v>1741.2</v>
      </c>
      <c r="K226" s="53">
        <f>1454.93+8.59</f>
        <v>1463.5</v>
      </c>
      <c r="L226" s="53">
        <v>277.7</v>
      </c>
      <c r="M226" s="53"/>
      <c r="N226" s="49">
        <f t="shared" si="131"/>
        <v>20800</v>
      </c>
      <c r="O226" s="53">
        <v>13719</v>
      </c>
      <c r="P226" s="53">
        <v>7081</v>
      </c>
      <c r="Q226" s="53"/>
      <c r="R226" s="49">
        <f t="shared" si="131"/>
        <v>21500</v>
      </c>
      <c r="S226" s="53">
        <v>13740</v>
      </c>
      <c r="T226" s="53">
        <v>7760</v>
      </c>
      <c r="U226" s="53"/>
      <c r="V226" s="72">
        <f t="shared" si="110"/>
        <v>0.04</v>
      </c>
    </row>
    <row r="227" spans="1:22" ht="33">
      <c r="A227" s="22">
        <v>11</v>
      </c>
      <c r="B227" s="22" t="s">
        <v>212</v>
      </c>
      <c r="C227" s="1" t="s">
        <v>14</v>
      </c>
      <c r="D227" s="1" t="s">
        <v>14</v>
      </c>
      <c r="E227" s="26" t="s">
        <v>14</v>
      </c>
      <c r="F227" s="48">
        <f t="shared" ref="F227:U227" si="132">F228+F231+F234</f>
        <v>7038</v>
      </c>
      <c r="G227" s="48">
        <f t="shared" si="132"/>
        <v>7038</v>
      </c>
      <c r="H227" s="48">
        <f t="shared" ref="H227" si="133">H228+H231+H234</f>
        <v>0</v>
      </c>
      <c r="I227" s="48">
        <f t="shared" si="132"/>
        <v>0</v>
      </c>
      <c r="J227" s="48">
        <f t="shared" si="132"/>
        <v>1748</v>
      </c>
      <c r="K227" s="48">
        <f t="shared" si="132"/>
        <v>1748</v>
      </c>
      <c r="L227" s="48">
        <f t="shared" si="132"/>
        <v>0</v>
      </c>
      <c r="M227" s="48">
        <f t="shared" si="132"/>
        <v>0</v>
      </c>
      <c r="N227" s="48">
        <f t="shared" si="132"/>
        <v>0</v>
      </c>
      <c r="O227" s="48">
        <f t="shared" si="132"/>
        <v>0</v>
      </c>
      <c r="P227" s="48">
        <f t="shared" si="132"/>
        <v>0</v>
      </c>
      <c r="Q227" s="48">
        <f t="shared" si="132"/>
        <v>0</v>
      </c>
      <c r="R227" s="48">
        <f t="shared" si="132"/>
        <v>51546.400000000001</v>
      </c>
      <c r="S227" s="48">
        <f t="shared" si="132"/>
        <v>1546.4</v>
      </c>
      <c r="T227" s="48">
        <f t="shared" si="132"/>
        <v>50000</v>
      </c>
      <c r="U227" s="48">
        <f t="shared" si="132"/>
        <v>0</v>
      </c>
      <c r="V227" s="68">
        <f t="shared" si="110"/>
        <v>0.248</v>
      </c>
    </row>
    <row r="228" spans="1:22" ht="49.5">
      <c r="A228" s="56" t="s">
        <v>210</v>
      </c>
      <c r="B228" s="15" t="s">
        <v>211</v>
      </c>
      <c r="C228" s="6" t="s">
        <v>14</v>
      </c>
      <c r="D228" s="6" t="s">
        <v>14</v>
      </c>
      <c r="E228" s="6" t="s">
        <v>14</v>
      </c>
      <c r="F228" s="51">
        <f t="shared" ref="F228:U228" si="134">F230</f>
        <v>0</v>
      </c>
      <c r="G228" s="49">
        <f t="shared" si="134"/>
        <v>0</v>
      </c>
      <c r="H228" s="49">
        <f t="shared" ref="H228" si="135">H230</f>
        <v>0</v>
      </c>
      <c r="I228" s="49">
        <f t="shared" si="134"/>
        <v>0</v>
      </c>
      <c r="J228" s="51">
        <f t="shared" si="134"/>
        <v>0</v>
      </c>
      <c r="K228" s="49">
        <f t="shared" si="134"/>
        <v>0</v>
      </c>
      <c r="L228" s="49">
        <f t="shared" si="134"/>
        <v>0</v>
      </c>
      <c r="M228" s="49">
        <f t="shared" si="134"/>
        <v>0</v>
      </c>
      <c r="N228" s="51">
        <f t="shared" si="134"/>
        <v>0</v>
      </c>
      <c r="O228" s="49">
        <f t="shared" si="134"/>
        <v>0</v>
      </c>
      <c r="P228" s="49">
        <f t="shared" si="134"/>
        <v>0</v>
      </c>
      <c r="Q228" s="49">
        <f t="shared" si="134"/>
        <v>0</v>
      </c>
      <c r="R228" s="51">
        <f t="shared" si="134"/>
        <v>51546.400000000001</v>
      </c>
      <c r="S228" s="49">
        <f t="shared" si="134"/>
        <v>1546.4</v>
      </c>
      <c r="T228" s="49">
        <f t="shared" si="134"/>
        <v>50000</v>
      </c>
      <c r="U228" s="49">
        <f t="shared" si="134"/>
        <v>0</v>
      </c>
      <c r="V228" s="69"/>
    </row>
    <row r="229" spans="1:22" ht="18.75">
      <c r="A229" s="57"/>
      <c r="B229" s="18" t="s">
        <v>17</v>
      </c>
      <c r="C229" s="7"/>
      <c r="D229" s="7"/>
      <c r="E229" s="7"/>
      <c r="F229" s="51"/>
      <c r="G229" s="49"/>
      <c r="H229" s="49"/>
      <c r="I229" s="49"/>
      <c r="J229" s="51"/>
      <c r="K229" s="49"/>
      <c r="L229" s="49"/>
      <c r="M229" s="49"/>
      <c r="N229" s="51"/>
      <c r="O229" s="49"/>
      <c r="P229" s="49"/>
      <c r="Q229" s="49"/>
      <c r="R229" s="51"/>
      <c r="S229" s="49"/>
      <c r="T229" s="49"/>
      <c r="U229" s="49"/>
      <c r="V229" s="69"/>
    </row>
    <row r="230" spans="1:22" ht="49.5">
      <c r="A230" s="57"/>
      <c r="B230" s="18" t="s">
        <v>213</v>
      </c>
      <c r="C230" s="7">
        <v>818</v>
      </c>
      <c r="D230" s="8" t="s">
        <v>214</v>
      </c>
      <c r="E230" s="7" t="s">
        <v>215</v>
      </c>
      <c r="F230" s="51">
        <f t="shared" ref="F230:R230" si="136">G230+H230+I230</f>
        <v>0</v>
      </c>
      <c r="G230" s="53"/>
      <c r="H230" s="53"/>
      <c r="I230" s="53"/>
      <c r="J230" s="51">
        <f t="shared" si="136"/>
        <v>0</v>
      </c>
      <c r="K230" s="53"/>
      <c r="L230" s="53"/>
      <c r="M230" s="53"/>
      <c r="N230" s="51">
        <f t="shared" si="136"/>
        <v>0</v>
      </c>
      <c r="O230" s="53"/>
      <c r="P230" s="53"/>
      <c r="Q230" s="53"/>
      <c r="R230" s="51">
        <f t="shared" si="136"/>
        <v>51546.400000000001</v>
      </c>
      <c r="S230" s="53">
        <v>1546.4</v>
      </c>
      <c r="T230" s="53">
        <v>50000</v>
      </c>
      <c r="U230" s="53"/>
      <c r="V230" s="72"/>
    </row>
    <row r="231" spans="1:22" ht="49.5">
      <c r="A231" s="56" t="s">
        <v>294</v>
      </c>
      <c r="B231" s="15" t="s">
        <v>295</v>
      </c>
      <c r="C231" s="6" t="s">
        <v>14</v>
      </c>
      <c r="D231" s="6" t="s">
        <v>14</v>
      </c>
      <c r="E231" s="6" t="s">
        <v>14</v>
      </c>
      <c r="F231" s="51">
        <f t="shared" ref="F231:U231" si="137">F233</f>
        <v>5038</v>
      </c>
      <c r="G231" s="49">
        <f t="shared" si="137"/>
        <v>5038</v>
      </c>
      <c r="H231" s="49">
        <f t="shared" ref="H231" si="138">H233</f>
        <v>0</v>
      </c>
      <c r="I231" s="49">
        <f t="shared" si="137"/>
        <v>0</v>
      </c>
      <c r="J231" s="51">
        <f t="shared" si="137"/>
        <v>98</v>
      </c>
      <c r="K231" s="49">
        <f t="shared" si="137"/>
        <v>98</v>
      </c>
      <c r="L231" s="49">
        <f t="shared" si="137"/>
        <v>0</v>
      </c>
      <c r="M231" s="49">
        <f t="shared" si="137"/>
        <v>0</v>
      </c>
      <c r="N231" s="51">
        <f t="shared" si="137"/>
        <v>0</v>
      </c>
      <c r="O231" s="49">
        <f t="shared" si="137"/>
        <v>0</v>
      </c>
      <c r="P231" s="49">
        <f t="shared" si="137"/>
        <v>0</v>
      </c>
      <c r="Q231" s="49">
        <f t="shared" si="137"/>
        <v>0</v>
      </c>
      <c r="R231" s="51">
        <f t="shared" si="137"/>
        <v>0</v>
      </c>
      <c r="S231" s="49">
        <f t="shared" si="137"/>
        <v>0</v>
      </c>
      <c r="T231" s="49">
        <f t="shared" si="137"/>
        <v>0</v>
      </c>
      <c r="U231" s="49">
        <f t="shared" si="137"/>
        <v>0</v>
      </c>
      <c r="V231" s="69">
        <f t="shared" si="110"/>
        <v>1.9E-2</v>
      </c>
    </row>
    <row r="232" spans="1:22" ht="18.75">
      <c r="A232" s="57"/>
      <c r="B232" s="18" t="s">
        <v>17</v>
      </c>
      <c r="C232" s="7"/>
      <c r="D232" s="8"/>
      <c r="E232" s="7"/>
      <c r="F232" s="51"/>
      <c r="G232" s="49"/>
      <c r="H232" s="49"/>
      <c r="I232" s="49"/>
      <c r="J232" s="51"/>
      <c r="K232" s="49"/>
      <c r="L232" s="49"/>
      <c r="M232" s="49"/>
      <c r="N232" s="51"/>
      <c r="O232" s="49"/>
      <c r="P232" s="49"/>
      <c r="Q232" s="49"/>
      <c r="R232" s="51"/>
      <c r="S232" s="49"/>
      <c r="T232" s="49"/>
      <c r="U232" s="49"/>
      <c r="V232" s="69"/>
    </row>
    <row r="233" spans="1:22" ht="33">
      <c r="A233" s="57"/>
      <c r="B233" s="18" t="s">
        <v>296</v>
      </c>
      <c r="C233" s="7">
        <v>804</v>
      </c>
      <c r="D233" s="8" t="s">
        <v>99</v>
      </c>
      <c r="E233" s="7" t="s">
        <v>297</v>
      </c>
      <c r="F233" s="51">
        <f t="shared" ref="F233:R233" si="139">G233+H233+I233</f>
        <v>5038</v>
      </c>
      <c r="G233" s="53">
        <f>10200-5162</f>
        <v>5038</v>
      </c>
      <c r="H233" s="53"/>
      <c r="I233" s="53"/>
      <c r="J233" s="51">
        <f t="shared" si="139"/>
        <v>98</v>
      </c>
      <c r="K233" s="53">
        <v>98</v>
      </c>
      <c r="L233" s="53"/>
      <c r="M233" s="53"/>
      <c r="N233" s="51">
        <f t="shared" si="139"/>
        <v>0</v>
      </c>
      <c r="O233" s="53"/>
      <c r="P233" s="53"/>
      <c r="Q233" s="53"/>
      <c r="R233" s="51">
        <f t="shared" si="139"/>
        <v>0</v>
      </c>
      <c r="S233" s="53"/>
      <c r="T233" s="53"/>
      <c r="U233" s="53"/>
      <c r="V233" s="72">
        <f t="shared" si="110"/>
        <v>1.9E-2</v>
      </c>
    </row>
    <row r="234" spans="1:22" ht="18.75">
      <c r="A234" s="56" t="s">
        <v>305</v>
      </c>
      <c r="B234" s="15" t="s">
        <v>306</v>
      </c>
      <c r="C234" s="6" t="s">
        <v>14</v>
      </c>
      <c r="D234" s="6" t="s">
        <v>14</v>
      </c>
      <c r="E234" s="6" t="s">
        <v>14</v>
      </c>
      <c r="F234" s="51">
        <f t="shared" ref="F234:U234" si="140">SUM(F236:F237)</f>
        <v>2000</v>
      </c>
      <c r="G234" s="49">
        <f t="shared" si="140"/>
        <v>2000</v>
      </c>
      <c r="H234" s="49">
        <f t="shared" ref="H234" si="141">SUM(H236:H237)</f>
        <v>0</v>
      </c>
      <c r="I234" s="49">
        <f t="shared" si="140"/>
        <v>0</v>
      </c>
      <c r="J234" s="51">
        <f t="shared" si="140"/>
        <v>1650</v>
      </c>
      <c r="K234" s="49">
        <f t="shared" si="140"/>
        <v>1650</v>
      </c>
      <c r="L234" s="49">
        <f t="shared" si="140"/>
        <v>0</v>
      </c>
      <c r="M234" s="49">
        <f t="shared" si="140"/>
        <v>0</v>
      </c>
      <c r="N234" s="51">
        <f t="shared" si="140"/>
        <v>0</v>
      </c>
      <c r="O234" s="49">
        <f t="shared" si="140"/>
        <v>0</v>
      </c>
      <c r="P234" s="49">
        <f t="shared" si="140"/>
        <v>0</v>
      </c>
      <c r="Q234" s="49">
        <f t="shared" si="140"/>
        <v>0</v>
      </c>
      <c r="R234" s="51">
        <f t="shared" si="140"/>
        <v>0</v>
      </c>
      <c r="S234" s="49">
        <f t="shared" si="140"/>
        <v>0</v>
      </c>
      <c r="T234" s="49">
        <f t="shared" si="140"/>
        <v>0</v>
      </c>
      <c r="U234" s="49">
        <f t="shared" si="140"/>
        <v>0</v>
      </c>
      <c r="V234" s="69">
        <f t="shared" si="110"/>
        <v>0.82499999999999996</v>
      </c>
    </row>
    <row r="235" spans="1:22" ht="18.75">
      <c r="A235" s="57"/>
      <c r="B235" s="18" t="s">
        <v>17</v>
      </c>
      <c r="C235" s="7"/>
      <c r="D235" s="8"/>
      <c r="E235" s="7"/>
      <c r="F235" s="51"/>
      <c r="G235" s="49"/>
      <c r="H235" s="49"/>
      <c r="I235" s="49"/>
      <c r="J235" s="51"/>
      <c r="K235" s="49"/>
      <c r="L235" s="49"/>
      <c r="M235" s="49"/>
      <c r="N235" s="51"/>
      <c r="O235" s="49"/>
      <c r="P235" s="49"/>
      <c r="Q235" s="49"/>
      <c r="R235" s="51"/>
      <c r="S235" s="49"/>
      <c r="T235" s="49"/>
      <c r="U235" s="49"/>
      <c r="V235" s="69"/>
    </row>
    <row r="236" spans="1:22" ht="49.5">
      <c r="A236" s="57"/>
      <c r="B236" s="18" t="s">
        <v>307</v>
      </c>
      <c r="C236" s="7">
        <v>804</v>
      </c>
      <c r="D236" s="8" t="s">
        <v>99</v>
      </c>
      <c r="E236" s="7" t="s">
        <v>308</v>
      </c>
      <c r="F236" s="51">
        <f t="shared" ref="F236:R237" si="142">G236+H236+I236</f>
        <v>1650</v>
      </c>
      <c r="G236" s="53">
        <v>1650</v>
      </c>
      <c r="H236" s="53"/>
      <c r="I236" s="53"/>
      <c r="J236" s="51">
        <f t="shared" si="142"/>
        <v>1650</v>
      </c>
      <c r="K236" s="53">
        <v>1650</v>
      </c>
      <c r="L236" s="53"/>
      <c r="M236" s="53"/>
      <c r="N236" s="51">
        <f t="shared" si="142"/>
        <v>0</v>
      </c>
      <c r="O236" s="53"/>
      <c r="P236" s="53"/>
      <c r="Q236" s="53"/>
      <c r="R236" s="51">
        <f t="shared" si="142"/>
        <v>0</v>
      </c>
      <c r="S236" s="53"/>
      <c r="T236" s="53"/>
      <c r="U236" s="53"/>
      <c r="V236" s="72">
        <f t="shared" si="110"/>
        <v>1</v>
      </c>
    </row>
    <row r="237" spans="1:22" ht="49.5">
      <c r="A237" s="57"/>
      <c r="B237" s="18" t="s">
        <v>312</v>
      </c>
      <c r="C237" s="7">
        <v>804</v>
      </c>
      <c r="D237" s="8" t="s">
        <v>99</v>
      </c>
      <c r="E237" s="7" t="s">
        <v>311</v>
      </c>
      <c r="F237" s="51">
        <f t="shared" si="142"/>
        <v>350</v>
      </c>
      <c r="G237" s="53">
        <v>350</v>
      </c>
      <c r="H237" s="53"/>
      <c r="I237" s="53"/>
      <c r="J237" s="51">
        <f t="shared" si="142"/>
        <v>0</v>
      </c>
      <c r="K237" s="53"/>
      <c r="L237" s="53"/>
      <c r="M237" s="53"/>
      <c r="N237" s="51">
        <f t="shared" si="142"/>
        <v>0</v>
      </c>
      <c r="O237" s="53"/>
      <c r="P237" s="53"/>
      <c r="Q237" s="53"/>
      <c r="R237" s="51">
        <f t="shared" si="142"/>
        <v>0</v>
      </c>
      <c r="S237" s="53"/>
      <c r="T237" s="53"/>
      <c r="U237" s="53"/>
      <c r="V237" s="72">
        <f t="shared" si="110"/>
        <v>0</v>
      </c>
    </row>
    <row r="238" spans="1:22">
      <c r="A238" s="11"/>
      <c r="B238" s="20" t="s">
        <v>379</v>
      </c>
      <c r="C238" s="11"/>
      <c r="D238" s="11"/>
      <c r="E238" s="11"/>
      <c r="T238" s="63"/>
    </row>
    <row r="239" spans="1:22">
      <c r="A239" s="11"/>
      <c r="B239" s="20" t="s">
        <v>166</v>
      </c>
      <c r="C239" s="11"/>
      <c r="D239" s="11"/>
      <c r="E239" s="11"/>
      <c r="T239" s="63"/>
    </row>
    <row r="240" spans="1:22">
      <c r="T240" s="63"/>
    </row>
    <row r="241" spans="20:20">
      <c r="T241" s="63"/>
    </row>
    <row r="242" spans="20:20">
      <c r="T242" s="63"/>
    </row>
    <row r="246" spans="20:20" ht="22.15" customHeight="1"/>
    <row r="247" spans="20:20" ht="22.15" customHeight="1"/>
    <row r="248" spans="20:20" ht="22.15" customHeight="1"/>
    <row r="249" spans="20:20" ht="22.15" customHeight="1"/>
    <row r="250" spans="20:20" ht="21" customHeight="1"/>
    <row r="251" spans="20:20" ht="21" customHeight="1"/>
    <row r="252" spans="20:20" ht="21" customHeight="1"/>
    <row r="253" spans="20:20" ht="21" customHeight="1"/>
    <row r="254" spans="20:20" ht="17.45" customHeight="1"/>
    <row r="255" spans="20:20" ht="16.149999999999999" customHeight="1"/>
    <row r="256" spans="20:20" ht="17.45" customHeight="1"/>
    <row r="257" ht="20.45" customHeight="1"/>
    <row r="258" ht="16.149999999999999" customHeight="1"/>
    <row r="259" ht="17.45" customHeight="1"/>
    <row r="260" ht="17.45" customHeight="1"/>
  </sheetData>
  <autoFilter ref="A4:V239">
    <filterColumn colId="3"/>
    <filterColumn colId="4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7" showButton="0"/>
    <filterColumn colId="18" showButton="0"/>
    <filterColumn colId="19" showButton="0"/>
  </autoFilter>
  <mergeCells count="14">
    <mergeCell ref="F4:M4"/>
    <mergeCell ref="F5:I5"/>
    <mergeCell ref="J5:M5"/>
    <mergeCell ref="V4:V6"/>
    <mergeCell ref="N5:Q5"/>
    <mergeCell ref="R5:U5"/>
    <mergeCell ref="N4:Q4"/>
    <mergeCell ref="R4:U4"/>
    <mergeCell ref="A4:A6"/>
    <mergeCell ref="B4:B6"/>
    <mergeCell ref="C4:C6"/>
    <mergeCell ref="A1:E2"/>
    <mergeCell ref="E4:E6"/>
    <mergeCell ref="D4:D6"/>
  </mergeCells>
  <printOptions horizontalCentered="1"/>
  <pageMargins left="0" right="0" top="0" bottom="0" header="0.31496062992125984" footer="0.31496062992125984"/>
  <pageSetup paperSize="9" scale="55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2020-05-28T03:51:23Z</dcterms:modified>
</cp:coreProperties>
</file>