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_FilterDatabase" localSheetId="0" hidden="1">Лист1!$A$4:$V$231</definedName>
    <definedName name="_xlnm.Print_Titles" localSheetId="0">Лист1!$4:$7</definedName>
  </definedNames>
  <calcPr calcId="125725" fullPrecision="0"/>
</workbook>
</file>

<file path=xl/calcChain.xml><?xml version="1.0" encoding="utf-8"?>
<calcChain xmlns="http://schemas.openxmlformats.org/spreadsheetml/2006/main">
  <c r="G113" i="1"/>
  <c r="H113"/>
  <c r="I113"/>
  <c r="J113"/>
  <c r="K113"/>
  <c r="L113"/>
  <c r="M113"/>
  <c r="N113"/>
  <c r="O113"/>
  <c r="P113"/>
  <c r="Q113"/>
  <c r="R113"/>
  <c r="S113"/>
  <c r="T113"/>
  <c r="U113"/>
  <c r="V113"/>
  <c r="F113"/>
  <c r="G15"/>
  <c r="G14"/>
  <c r="G13"/>
  <c r="H13"/>
  <c r="H15"/>
  <c r="H14"/>
  <c r="K17"/>
  <c r="K162"/>
  <c r="K13"/>
  <c r="K33"/>
  <c r="K71"/>
  <c r="K34"/>
  <c r="L13"/>
  <c r="L17"/>
  <c r="L71"/>
  <c r="L34"/>
  <c r="K164"/>
  <c r="G41"/>
  <c r="K186"/>
  <c r="K84"/>
  <c r="K93"/>
  <c r="K25"/>
  <c r="K22"/>
  <c r="K213"/>
  <c r="L40"/>
  <c r="L42"/>
  <c r="K59" l="1"/>
  <c r="L206"/>
  <c r="L203" s="1"/>
  <c r="K99"/>
  <c r="K76"/>
  <c r="K45"/>
  <c r="K67"/>
  <c r="K63"/>
  <c r="K50"/>
  <c r="K51"/>
  <c r="K53"/>
  <c r="K52"/>
  <c r="K206"/>
  <c r="K203" s="1"/>
  <c r="R208"/>
  <c r="N208"/>
  <c r="J208"/>
  <c r="F208"/>
  <c r="H203"/>
  <c r="I203"/>
  <c r="M203"/>
  <c r="O203"/>
  <c r="P203"/>
  <c r="Q203"/>
  <c r="S203"/>
  <c r="T203"/>
  <c r="U203"/>
  <c r="G71"/>
  <c r="G206"/>
  <c r="G203" s="1"/>
  <c r="V208" l="1"/>
  <c r="K160"/>
  <c r="S174"/>
  <c r="G174"/>
  <c r="G173"/>
  <c r="G37"/>
  <c r="G36"/>
  <c r="G212"/>
  <c r="S202"/>
  <c r="R202" s="1"/>
  <c r="O202"/>
  <c r="G202"/>
  <c r="O197"/>
  <c r="G197"/>
  <c r="S196"/>
  <c r="O196"/>
  <c r="G196"/>
  <c r="S193"/>
  <c r="O193"/>
  <c r="G193"/>
  <c r="S192"/>
  <c r="O192"/>
  <c r="H37"/>
  <c r="H36"/>
  <c r="H34"/>
  <c r="I194"/>
  <c r="K194"/>
  <c r="L194"/>
  <c r="M194"/>
  <c r="Q194"/>
  <c r="S194"/>
  <c r="U194"/>
  <c r="R199"/>
  <c r="N199"/>
  <c r="J199"/>
  <c r="F199"/>
  <c r="T196"/>
  <c r="T194" s="1"/>
  <c r="P196"/>
  <c r="P194" s="1"/>
  <c r="H196"/>
  <c r="H194" s="1"/>
  <c r="G160"/>
  <c r="H160"/>
  <c r="I160"/>
  <c r="L160"/>
  <c r="M160"/>
  <c r="O160"/>
  <c r="P160"/>
  <c r="Q160"/>
  <c r="S160"/>
  <c r="T160"/>
  <c r="U160"/>
  <c r="R164"/>
  <c r="R165"/>
  <c r="R166"/>
  <c r="N164"/>
  <c r="N165"/>
  <c r="N166"/>
  <c r="J164"/>
  <c r="J165"/>
  <c r="J166"/>
  <c r="F164"/>
  <c r="F165"/>
  <c r="F166"/>
  <c r="G62"/>
  <c r="G152"/>
  <c r="V165" l="1"/>
  <c r="O194"/>
  <c r="V199"/>
  <c r="V164"/>
  <c r="G194"/>
  <c r="P91"/>
  <c r="P88" s="1"/>
  <c r="O91"/>
  <c r="O88" s="1"/>
  <c r="H91"/>
  <c r="H88" s="1"/>
  <c r="G91"/>
  <c r="G88" s="1"/>
  <c r="J45"/>
  <c r="R63"/>
  <c r="R62"/>
  <c r="N63"/>
  <c r="N62"/>
  <c r="R177"/>
  <c r="N177"/>
  <c r="J177"/>
  <c r="F177"/>
  <c r="R155"/>
  <c r="R153" s="1"/>
  <c r="H138"/>
  <c r="F138" s="1"/>
  <c r="U60"/>
  <c r="G60"/>
  <c r="H60"/>
  <c r="I60"/>
  <c r="K60"/>
  <c r="L60"/>
  <c r="M60"/>
  <c r="O60"/>
  <c r="Q60"/>
  <c r="S60"/>
  <c r="T60"/>
  <c r="P60"/>
  <c r="J62"/>
  <c r="J63"/>
  <c r="F62"/>
  <c r="F63"/>
  <c r="Q141"/>
  <c r="S141"/>
  <c r="T141"/>
  <c r="G141"/>
  <c r="H141"/>
  <c r="I141"/>
  <c r="K141"/>
  <c r="L141"/>
  <c r="M141"/>
  <c r="O141"/>
  <c r="P141"/>
  <c r="G156"/>
  <c r="H156"/>
  <c r="I156"/>
  <c r="K156"/>
  <c r="L156"/>
  <c r="M156"/>
  <c r="O156"/>
  <c r="P156"/>
  <c r="Q156"/>
  <c r="S156"/>
  <c r="T156"/>
  <c r="U156"/>
  <c r="R158"/>
  <c r="R156" s="1"/>
  <c r="N158"/>
  <c r="N156" s="1"/>
  <c r="J158"/>
  <c r="J156" s="1"/>
  <c r="F158"/>
  <c r="G153"/>
  <c r="H153"/>
  <c r="I153"/>
  <c r="K153"/>
  <c r="L153"/>
  <c r="M153"/>
  <c r="O153"/>
  <c r="P153"/>
  <c r="Q153"/>
  <c r="S153"/>
  <c r="T153"/>
  <c r="U153"/>
  <c r="N155"/>
  <c r="N153" s="1"/>
  <c r="J155"/>
  <c r="J153" s="1"/>
  <c r="F155"/>
  <c r="U150"/>
  <c r="G150"/>
  <c r="H150"/>
  <c r="I150"/>
  <c r="K150"/>
  <c r="L150"/>
  <c r="M150"/>
  <c r="O150"/>
  <c r="P150"/>
  <c r="Q150"/>
  <c r="S150"/>
  <c r="T150"/>
  <c r="R152"/>
  <c r="R150" s="1"/>
  <c r="N152"/>
  <c r="N150" s="1"/>
  <c r="J152"/>
  <c r="J150" s="1"/>
  <c r="F152"/>
  <c r="G146"/>
  <c r="H146"/>
  <c r="I146"/>
  <c r="K146"/>
  <c r="L146"/>
  <c r="M146"/>
  <c r="O146"/>
  <c r="P146"/>
  <c r="Q146"/>
  <c r="S146"/>
  <c r="T146"/>
  <c r="U146"/>
  <c r="R148"/>
  <c r="R149"/>
  <c r="N148"/>
  <c r="N149"/>
  <c r="J148"/>
  <c r="J149"/>
  <c r="F148"/>
  <c r="F149"/>
  <c r="R143"/>
  <c r="R144"/>
  <c r="R145"/>
  <c r="N143"/>
  <c r="N144"/>
  <c r="N145"/>
  <c r="J143"/>
  <c r="J144"/>
  <c r="J145"/>
  <c r="F143"/>
  <c r="F144"/>
  <c r="F145"/>
  <c r="H226"/>
  <c r="H223"/>
  <c r="H220"/>
  <c r="H214"/>
  <c r="H210"/>
  <c r="H200"/>
  <c r="H190"/>
  <c r="H182"/>
  <c r="H179"/>
  <c r="H171"/>
  <c r="H167"/>
  <c r="H132"/>
  <c r="H122"/>
  <c r="H117"/>
  <c r="H114"/>
  <c r="H110"/>
  <c r="H107"/>
  <c r="H104"/>
  <c r="H96"/>
  <c r="H81"/>
  <c r="H73"/>
  <c r="H68"/>
  <c r="H64"/>
  <c r="H55"/>
  <c r="H47"/>
  <c r="H43"/>
  <c r="H38"/>
  <c r="H30"/>
  <c r="H18"/>
  <c r="H10"/>
  <c r="G226"/>
  <c r="I226"/>
  <c r="K226"/>
  <c r="L226"/>
  <c r="M226"/>
  <c r="O226"/>
  <c r="P226"/>
  <c r="Q226"/>
  <c r="S226"/>
  <c r="T226"/>
  <c r="U226"/>
  <c r="R228"/>
  <c r="R229"/>
  <c r="N228"/>
  <c r="N229"/>
  <c r="J228"/>
  <c r="J229"/>
  <c r="F228"/>
  <c r="F229"/>
  <c r="G223"/>
  <c r="I223"/>
  <c r="K223"/>
  <c r="L223"/>
  <c r="M223"/>
  <c r="O223"/>
  <c r="P223"/>
  <c r="Q223"/>
  <c r="S223"/>
  <c r="T223"/>
  <c r="U223"/>
  <c r="R225"/>
  <c r="R223" s="1"/>
  <c r="N225"/>
  <c r="N223" s="1"/>
  <c r="J225"/>
  <c r="J223" s="1"/>
  <c r="F225"/>
  <c r="G220"/>
  <c r="I220"/>
  <c r="K220"/>
  <c r="L220"/>
  <c r="M220"/>
  <c r="O220"/>
  <c r="P220"/>
  <c r="Q220"/>
  <c r="S220"/>
  <c r="T220"/>
  <c r="U220"/>
  <c r="R222"/>
  <c r="R220" s="1"/>
  <c r="N222"/>
  <c r="N220" s="1"/>
  <c r="J222"/>
  <c r="J220" s="1"/>
  <c r="F222"/>
  <c r="F220" s="1"/>
  <c r="G214"/>
  <c r="I214"/>
  <c r="K214"/>
  <c r="L214"/>
  <c r="M214"/>
  <c r="O214"/>
  <c r="P214"/>
  <c r="Q214"/>
  <c r="S214"/>
  <c r="T214"/>
  <c r="U214"/>
  <c r="R216"/>
  <c r="R217"/>
  <c r="R218"/>
  <c r="N216"/>
  <c r="N217"/>
  <c r="N218"/>
  <c r="J216"/>
  <c r="J217"/>
  <c r="J218"/>
  <c r="F218"/>
  <c r="F216"/>
  <c r="F217"/>
  <c r="G210"/>
  <c r="I210"/>
  <c r="K210"/>
  <c r="L210"/>
  <c r="M210"/>
  <c r="O210"/>
  <c r="P210"/>
  <c r="Q210"/>
  <c r="S210"/>
  <c r="T210"/>
  <c r="U210"/>
  <c r="R212"/>
  <c r="R213"/>
  <c r="N212"/>
  <c r="N213"/>
  <c r="J212"/>
  <c r="J213"/>
  <c r="F212"/>
  <c r="F213"/>
  <c r="R205"/>
  <c r="R206"/>
  <c r="R207"/>
  <c r="N205"/>
  <c r="N206"/>
  <c r="N207"/>
  <c r="J205"/>
  <c r="J206"/>
  <c r="J207"/>
  <c r="F205"/>
  <c r="F206"/>
  <c r="F207"/>
  <c r="G200"/>
  <c r="I200"/>
  <c r="K200"/>
  <c r="L200"/>
  <c r="M200"/>
  <c r="O200"/>
  <c r="P200"/>
  <c r="Q200"/>
  <c r="S200"/>
  <c r="T200"/>
  <c r="U200"/>
  <c r="N202"/>
  <c r="J202"/>
  <c r="F202"/>
  <c r="R197"/>
  <c r="R198"/>
  <c r="N196"/>
  <c r="N197"/>
  <c r="N198"/>
  <c r="J196"/>
  <c r="J197"/>
  <c r="J198"/>
  <c r="F196"/>
  <c r="F197"/>
  <c r="F198"/>
  <c r="G190"/>
  <c r="I190"/>
  <c r="K190"/>
  <c r="L190"/>
  <c r="M190"/>
  <c r="O190"/>
  <c r="P190"/>
  <c r="Q190"/>
  <c r="S190"/>
  <c r="T190"/>
  <c r="U190"/>
  <c r="R192"/>
  <c r="R193"/>
  <c r="N192"/>
  <c r="N193"/>
  <c r="J192"/>
  <c r="J193"/>
  <c r="F192"/>
  <c r="F193"/>
  <c r="G182"/>
  <c r="I182"/>
  <c r="K182"/>
  <c r="L182"/>
  <c r="M182"/>
  <c r="O182"/>
  <c r="P182"/>
  <c r="Q182"/>
  <c r="S182"/>
  <c r="T182"/>
  <c r="U182"/>
  <c r="R184"/>
  <c r="R185"/>
  <c r="R186"/>
  <c r="R187"/>
  <c r="R188"/>
  <c r="N184"/>
  <c r="N185"/>
  <c r="N186"/>
  <c r="N187"/>
  <c r="N188"/>
  <c r="J184"/>
  <c r="J185"/>
  <c r="J186"/>
  <c r="J187"/>
  <c r="J188"/>
  <c r="F184"/>
  <c r="F185"/>
  <c r="F186"/>
  <c r="F187"/>
  <c r="F188"/>
  <c r="J183"/>
  <c r="G179"/>
  <c r="I179"/>
  <c r="K179"/>
  <c r="L179"/>
  <c r="M179"/>
  <c r="O179"/>
  <c r="P179"/>
  <c r="Q179"/>
  <c r="S179"/>
  <c r="T179"/>
  <c r="U179"/>
  <c r="R181"/>
  <c r="R179" s="1"/>
  <c r="N181"/>
  <c r="N179" s="1"/>
  <c r="J181"/>
  <c r="J179" s="1"/>
  <c r="F181"/>
  <c r="F179" s="1"/>
  <c r="U171"/>
  <c r="G171"/>
  <c r="I171"/>
  <c r="K171"/>
  <c r="L171"/>
  <c r="M171"/>
  <c r="O171"/>
  <c r="P171"/>
  <c r="Q171"/>
  <c r="S171"/>
  <c r="T171"/>
  <c r="R173"/>
  <c r="R174"/>
  <c r="R175"/>
  <c r="R176"/>
  <c r="R178"/>
  <c r="N173"/>
  <c r="N174"/>
  <c r="N175"/>
  <c r="N176"/>
  <c r="N178"/>
  <c r="J173"/>
  <c r="J174"/>
  <c r="J175"/>
  <c r="J176"/>
  <c r="J178"/>
  <c r="F173"/>
  <c r="F174"/>
  <c r="F175"/>
  <c r="F176"/>
  <c r="F178"/>
  <c r="G167"/>
  <c r="I167"/>
  <c r="I159" s="1"/>
  <c r="K167"/>
  <c r="K159" s="1"/>
  <c r="L167"/>
  <c r="M167"/>
  <c r="M159" s="1"/>
  <c r="O167"/>
  <c r="O159" s="1"/>
  <c r="P167"/>
  <c r="Q167"/>
  <c r="Q159" s="1"/>
  <c r="S167"/>
  <c r="S159" s="1"/>
  <c r="T167"/>
  <c r="U167"/>
  <c r="U159" s="1"/>
  <c r="R169"/>
  <c r="R167" s="1"/>
  <c r="N169"/>
  <c r="N167" s="1"/>
  <c r="J169"/>
  <c r="J167" s="1"/>
  <c r="F169"/>
  <c r="R162"/>
  <c r="R163"/>
  <c r="N162"/>
  <c r="N163"/>
  <c r="J162"/>
  <c r="J163"/>
  <c r="F162"/>
  <c r="F163"/>
  <c r="G136"/>
  <c r="I136"/>
  <c r="K136"/>
  <c r="L136"/>
  <c r="M136"/>
  <c r="O136"/>
  <c r="P136"/>
  <c r="Q136"/>
  <c r="S136"/>
  <c r="T136"/>
  <c r="U136"/>
  <c r="R138"/>
  <c r="R139"/>
  <c r="N138"/>
  <c r="N139"/>
  <c r="J138"/>
  <c r="J139"/>
  <c r="F139"/>
  <c r="G132"/>
  <c r="I132"/>
  <c r="K132"/>
  <c r="L132"/>
  <c r="M132"/>
  <c r="O132"/>
  <c r="P132"/>
  <c r="Q132"/>
  <c r="S132"/>
  <c r="T132"/>
  <c r="U132"/>
  <c r="R135"/>
  <c r="R134"/>
  <c r="N134"/>
  <c r="N135"/>
  <c r="J134"/>
  <c r="J135"/>
  <c r="F134"/>
  <c r="F135"/>
  <c r="G122"/>
  <c r="I122"/>
  <c r="K122"/>
  <c r="L122"/>
  <c r="M122"/>
  <c r="O122"/>
  <c r="P122"/>
  <c r="Q122"/>
  <c r="S122"/>
  <c r="T122"/>
  <c r="U122"/>
  <c r="R124"/>
  <c r="R125"/>
  <c r="R126"/>
  <c r="R127"/>
  <c r="R128"/>
  <c r="R129"/>
  <c r="R130"/>
  <c r="N124"/>
  <c r="N125"/>
  <c r="N126"/>
  <c r="N127"/>
  <c r="N128"/>
  <c r="N129"/>
  <c r="N130"/>
  <c r="J124"/>
  <c r="J125"/>
  <c r="J126"/>
  <c r="J127"/>
  <c r="J128"/>
  <c r="J129"/>
  <c r="J130"/>
  <c r="F124"/>
  <c r="F125"/>
  <c r="F126"/>
  <c r="F127"/>
  <c r="F128"/>
  <c r="F129"/>
  <c r="F130"/>
  <c r="G117"/>
  <c r="I117"/>
  <c r="K117"/>
  <c r="L117"/>
  <c r="M117"/>
  <c r="O117"/>
  <c r="P117"/>
  <c r="Q117"/>
  <c r="S117"/>
  <c r="T117"/>
  <c r="U117"/>
  <c r="R119"/>
  <c r="R120"/>
  <c r="R121"/>
  <c r="N119"/>
  <c r="N120"/>
  <c r="N121"/>
  <c r="J119"/>
  <c r="J120"/>
  <c r="J121"/>
  <c r="F119"/>
  <c r="F120"/>
  <c r="F121"/>
  <c r="G114"/>
  <c r="I114"/>
  <c r="K114"/>
  <c r="L114"/>
  <c r="M114"/>
  <c r="O114"/>
  <c r="P114"/>
  <c r="Q114"/>
  <c r="S114"/>
  <c r="T114"/>
  <c r="U114"/>
  <c r="R116"/>
  <c r="N116"/>
  <c r="J116"/>
  <c r="F116"/>
  <c r="G73"/>
  <c r="I73"/>
  <c r="K73"/>
  <c r="L73"/>
  <c r="M73"/>
  <c r="O73"/>
  <c r="P73"/>
  <c r="Q73"/>
  <c r="S73"/>
  <c r="T73"/>
  <c r="U73"/>
  <c r="G110"/>
  <c r="I110"/>
  <c r="K110"/>
  <c r="L110"/>
  <c r="M110"/>
  <c r="O110"/>
  <c r="P110"/>
  <c r="Q110"/>
  <c r="S110"/>
  <c r="T110"/>
  <c r="U110"/>
  <c r="R112"/>
  <c r="R110" s="1"/>
  <c r="N112"/>
  <c r="N110" s="1"/>
  <c r="J112"/>
  <c r="J110" s="1"/>
  <c r="F112"/>
  <c r="G107"/>
  <c r="I107"/>
  <c r="K107"/>
  <c r="L107"/>
  <c r="M107"/>
  <c r="O107"/>
  <c r="P107"/>
  <c r="Q107"/>
  <c r="S107"/>
  <c r="T107"/>
  <c r="U107"/>
  <c r="R109"/>
  <c r="R107" s="1"/>
  <c r="N109"/>
  <c r="N107" s="1"/>
  <c r="J109"/>
  <c r="J107" s="1"/>
  <c r="F109"/>
  <c r="G104"/>
  <c r="I104"/>
  <c r="K104"/>
  <c r="L104"/>
  <c r="M104"/>
  <c r="O104"/>
  <c r="P104"/>
  <c r="Q104"/>
  <c r="S104"/>
  <c r="T104"/>
  <c r="U104"/>
  <c r="R106"/>
  <c r="R104" s="1"/>
  <c r="N106"/>
  <c r="N104" s="1"/>
  <c r="J106"/>
  <c r="F106"/>
  <c r="F104" s="1"/>
  <c r="G96"/>
  <c r="I96"/>
  <c r="K96"/>
  <c r="L96"/>
  <c r="M96"/>
  <c r="O96"/>
  <c r="P96"/>
  <c r="Q96"/>
  <c r="S96"/>
  <c r="T96"/>
  <c r="U96"/>
  <c r="R98"/>
  <c r="R99"/>
  <c r="R100"/>
  <c r="R101"/>
  <c r="R102"/>
  <c r="R103"/>
  <c r="N98"/>
  <c r="N99"/>
  <c r="N100"/>
  <c r="N101"/>
  <c r="N102"/>
  <c r="N103"/>
  <c r="J98"/>
  <c r="J99"/>
  <c r="J100"/>
  <c r="J101"/>
  <c r="J102"/>
  <c r="J103"/>
  <c r="F98"/>
  <c r="F99"/>
  <c r="F100"/>
  <c r="F101"/>
  <c r="F102"/>
  <c r="F103"/>
  <c r="I88"/>
  <c r="K88"/>
  <c r="L88"/>
  <c r="M88"/>
  <c r="Q88"/>
  <c r="S88"/>
  <c r="T88"/>
  <c r="U88"/>
  <c r="R90"/>
  <c r="R91"/>
  <c r="R92"/>
  <c r="R93"/>
  <c r="R94"/>
  <c r="R95"/>
  <c r="N90"/>
  <c r="N92"/>
  <c r="N93"/>
  <c r="N94"/>
  <c r="N95"/>
  <c r="J90"/>
  <c r="J91"/>
  <c r="J92"/>
  <c r="J93"/>
  <c r="J94"/>
  <c r="J95"/>
  <c r="F90"/>
  <c r="F92"/>
  <c r="F93"/>
  <c r="F94"/>
  <c r="F95"/>
  <c r="G81"/>
  <c r="I81"/>
  <c r="K81"/>
  <c r="L81"/>
  <c r="M81"/>
  <c r="O81"/>
  <c r="P81"/>
  <c r="Q81"/>
  <c r="S81"/>
  <c r="T81"/>
  <c r="U81"/>
  <c r="R83"/>
  <c r="R84"/>
  <c r="R85"/>
  <c r="R86"/>
  <c r="R87"/>
  <c r="N83"/>
  <c r="N84"/>
  <c r="N85"/>
  <c r="N86"/>
  <c r="N87"/>
  <c r="J83"/>
  <c r="J84"/>
  <c r="J85"/>
  <c r="J86"/>
  <c r="J87"/>
  <c r="F83"/>
  <c r="F84"/>
  <c r="F85"/>
  <c r="F86"/>
  <c r="F87"/>
  <c r="R75"/>
  <c r="R76"/>
  <c r="R77"/>
  <c r="R78"/>
  <c r="R79"/>
  <c r="R80"/>
  <c r="N75"/>
  <c r="N76"/>
  <c r="N77"/>
  <c r="N78"/>
  <c r="N79"/>
  <c r="N80"/>
  <c r="J75"/>
  <c r="J76"/>
  <c r="J77"/>
  <c r="J78"/>
  <c r="J79"/>
  <c r="J80"/>
  <c r="F75"/>
  <c r="F76"/>
  <c r="F77"/>
  <c r="F78"/>
  <c r="F79"/>
  <c r="F80"/>
  <c r="R70"/>
  <c r="R71"/>
  <c r="N70"/>
  <c r="N71"/>
  <c r="J70"/>
  <c r="J71"/>
  <c r="F70"/>
  <c r="F71"/>
  <c r="I68"/>
  <c r="K68"/>
  <c r="L68"/>
  <c r="M68"/>
  <c r="O68"/>
  <c r="P68"/>
  <c r="Q68"/>
  <c r="S68"/>
  <c r="T68"/>
  <c r="U68"/>
  <c r="R66"/>
  <c r="R67"/>
  <c r="N66"/>
  <c r="N67"/>
  <c r="J66"/>
  <c r="J67"/>
  <c r="F66"/>
  <c r="F67"/>
  <c r="G64"/>
  <c r="I64"/>
  <c r="K64"/>
  <c r="L64"/>
  <c r="M64"/>
  <c r="O64"/>
  <c r="P64"/>
  <c r="Q64"/>
  <c r="S64"/>
  <c r="T64"/>
  <c r="U64"/>
  <c r="G55"/>
  <c r="I55"/>
  <c r="K55"/>
  <c r="L55"/>
  <c r="M55"/>
  <c r="O55"/>
  <c r="P55"/>
  <c r="Q55"/>
  <c r="S55"/>
  <c r="T55"/>
  <c r="U55"/>
  <c r="R57"/>
  <c r="R58"/>
  <c r="R59"/>
  <c r="N57"/>
  <c r="N58"/>
  <c r="N59"/>
  <c r="J57"/>
  <c r="J58"/>
  <c r="J59"/>
  <c r="F57"/>
  <c r="F58"/>
  <c r="F59"/>
  <c r="G47"/>
  <c r="I47"/>
  <c r="K47"/>
  <c r="L47"/>
  <c r="M47"/>
  <c r="O47"/>
  <c r="P47"/>
  <c r="Q47"/>
  <c r="S47"/>
  <c r="T47"/>
  <c r="U47"/>
  <c r="R49"/>
  <c r="R50"/>
  <c r="R51"/>
  <c r="R52"/>
  <c r="R53"/>
  <c r="R54"/>
  <c r="N49"/>
  <c r="N50"/>
  <c r="N51"/>
  <c r="N52"/>
  <c r="N53"/>
  <c r="N54"/>
  <c r="J49"/>
  <c r="J50"/>
  <c r="J51"/>
  <c r="J52"/>
  <c r="J53"/>
  <c r="J54"/>
  <c r="F49"/>
  <c r="F50"/>
  <c r="F51"/>
  <c r="F52"/>
  <c r="F53"/>
  <c r="F54"/>
  <c r="G43"/>
  <c r="I43"/>
  <c r="K43"/>
  <c r="L43"/>
  <c r="M43"/>
  <c r="O43"/>
  <c r="P43"/>
  <c r="Q43"/>
  <c r="S43"/>
  <c r="T43"/>
  <c r="U43"/>
  <c r="R45"/>
  <c r="R43" s="1"/>
  <c r="N45"/>
  <c r="F45"/>
  <c r="G38"/>
  <c r="I38"/>
  <c r="K38"/>
  <c r="L38"/>
  <c r="M38"/>
  <c r="O38"/>
  <c r="P38"/>
  <c r="Q38"/>
  <c r="S38"/>
  <c r="T38"/>
  <c r="U38"/>
  <c r="R40"/>
  <c r="R41"/>
  <c r="R42"/>
  <c r="N40"/>
  <c r="N41"/>
  <c r="N42"/>
  <c r="J40"/>
  <c r="J41"/>
  <c r="J42"/>
  <c r="F40"/>
  <c r="F41"/>
  <c r="F42"/>
  <c r="G30"/>
  <c r="I30"/>
  <c r="K30"/>
  <c r="L30"/>
  <c r="M30"/>
  <c r="O30"/>
  <c r="P30"/>
  <c r="Q30"/>
  <c r="S30"/>
  <c r="T30"/>
  <c r="U30"/>
  <c r="R32"/>
  <c r="R33"/>
  <c r="R34"/>
  <c r="R35"/>
  <c r="R36"/>
  <c r="R37"/>
  <c r="N32"/>
  <c r="N33"/>
  <c r="N34"/>
  <c r="N35"/>
  <c r="N36"/>
  <c r="N37"/>
  <c r="J32"/>
  <c r="J33"/>
  <c r="J34"/>
  <c r="J35"/>
  <c r="J36"/>
  <c r="J37"/>
  <c r="F32"/>
  <c r="F33"/>
  <c r="F34"/>
  <c r="F35"/>
  <c r="F36"/>
  <c r="F37"/>
  <c r="R20"/>
  <c r="R21"/>
  <c r="R22"/>
  <c r="R23"/>
  <c r="R24"/>
  <c r="R25"/>
  <c r="R26"/>
  <c r="R27"/>
  <c r="R28"/>
  <c r="R29"/>
  <c r="N20"/>
  <c r="N21"/>
  <c r="N22"/>
  <c r="N23"/>
  <c r="N24"/>
  <c r="N25"/>
  <c r="N26"/>
  <c r="N27"/>
  <c r="N28"/>
  <c r="N29"/>
  <c r="J20"/>
  <c r="J21"/>
  <c r="J22"/>
  <c r="J23"/>
  <c r="J24"/>
  <c r="J25"/>
  <c r="J26"/>
  <c r="J27"/>
  <c r="J28"/>
  <c r="J29"/>
  <c r="F21"/>
  <c r="F22"/>
  <c r="F23"/>
  <c r="F24"/>
  <c r="F25"/>
  <c r="F26"/>
  <c r="F27"/>
  <c r="F28"/>
  <c r="F29"/>
  <c r="F20"/>
  <c r="G18"/>
  <c r="I18"/>
  <c r="K18"/>
  <c r="L18"/>
  <c r="M18"/>
  <c r="O18"/>
  <c r="P18"/>
  <c r="Q18"/>
  <c r="S18"/>
  <c r="T18"/>
  <c r="U18"/>
  <c r="G10"/>
  <c r="I10"/>
  <c r="K10"/>
  <c r="L10"/>
  <c r="M10"/>
  <c r="O10"/>
  <c r="P10"/>
  <c r="Q10"/>
  <c r="S10"/>
  <c r="T10"/>
  <c r="U10"/>
  <c r="R12"/>
  <c r="R13"/>
  <c r="R14"/>
  <c r="R15"/>
  <c r="R16"/>
  <c r="R17"/>
  <c r="N12"/>
  <c r="N13"/>
  <c r="N14"/>
  <c r="N15"/>
  <c r="N16"/>
  <c r="N17"/>
  <c r="J12"/>
  <c r="J13"/>
  <c r="J14"/>
  <c r="J15"/>
  <c r="J16"/>
  <c r="J17"/>
  <c r="F12"/>
  <c r="F13"/>
  <c r="F14"/>
  <c r="F15"/>
  <c r="F16"/>
  <c r="F17"/>
  <c r="V198" l="1"/>
  <c r="Q209"/>
  <c r="L209"/>
  <c r="V197"/>
  <c r="V36"/>
  <c r="V32"/>
  <c r="V37"/>
  <c r="V149"/>
  <c r="V35"/>
  <c r="V205"/>
  <c r="M209"/>
  <c r="V217"/>
  <c r="V58"/>
  <c r="V103"/>
  <c r="V99"/>
  <c r="V130"/>
  <c r="V126"/>
  <c r="T209"/>
  <c r="I209"/>
  <c r="V143"/>
  <c r="V27"/>
  <c r="V59"/>
  <c r="V100"/>
  <c r="V119"/>
  <c r="V127"/>
  <c r="V15"/>
  <c r="V20"/>
  <c r="V40"/>
  <c r="V50"/>
  <c r="V83"/>
  <c r="V135"/>
  <c r="V178"/>
  <c r="V173"/>
  <c r="V28"/>
  <c r="V21"/>
  <c r="V77"/>
  <c r="V95"/>
  <c r="V92"/>
  <c r="V116"/>
  <c r="V162"/>
  <c r="V228"/>
  <c r="V63"/>
  <c r="V16"/>
  <c r="V14"/>
  <c r="V24"/>
  <c r="V78"/>
  <c r="V86"/>
  <c r="V102"/>
  <c r="V129"/>
  <c r="V125"/>
  <c r="V134"/>
  <c r="R160"/>
  <c r="R159" s="1"/>
  <c r="V185"/>
  <c r="V193"/>
  <c r="N203"/>
  <c r="U209"/>
  <c r="P209"/>
  <c r="K209"/>
  <c r="V216"/>
  <c r="V229"/>
  <c r="V144"/>
  <c r="R203"/>
  <c r="V139"/>
  <c r="V174"/>
  <c r="V218"/>
  <c r="V23"/>
  <c r="V53"/>
  <c r="V49"/>
  <c r="V57"/>
  <c r="V67"/>
  <c r="V70"/>
  <c r="V80"/>
  <c r="V76"/>
  <c r="V85"/>
  <c r="V94"/>
  <c r="V90"/>
  <c r="V101"/>
  <c r="V98"/>
  <c r="V121"/>
  <c r="V128"/>
  <c r="V124"/>
  <c r="V188"/>
  <c r="V207"/>
  <c r="J203"/>
  <c r="V145"/>
  <c r="V148"/>
  <c r="V62"/>
  <c r="J194"/>
  <c r="V12"/>
  <c r="V29"/>
  <c r="V26"/>
  <c r="V52"/>
  <c r="V66"/>
  <c r="V71"/>
  <c r="V75"/>
  <c r="V87"/>
  <c r="V187"/>
  <c r="V184"/>
  <c r="V202"/>
  <c r="V138"/>
  <c r="V177"/>
  <c r="F110"/>
  <c r="V110" s="1"/>
  <c r="V112"/>
  <c r="F203"/>
  <c r="V203" s="1"/>
  <c r="V206"/>
  <c r="F43"/>
  <c r="V45"/>
  <c r="F150"/>
  <c r="V150" s="1"/>
  <c r="V152"/>
  <c r="V33"/>
  <c r="V22"/>
  <c r="V79"/>
  <c r="V84"/>
  <c r="V213"/>
  <c r="F107"/>
  <c r="V107" s="1"/>
  <c r="V109"/>
  <c r="F167"/>
  <c r="V167" s="1"/>
  <c r="V169"/>
  <c r="F156"/>
  <c r="V156" s="1"/>
  <c r="V158"/>
  <c r="F223"/>
  <c r="V223" s="1"/>
  <c r="V225"/>
  <c r="F153"/>
  <c r="V153" s="1"/>
  <c r="V155"/>
  <c r="V42"/>
  <c r="V51"/>
  <c r="V93"/>
  <c r="V163"/>
  <c r="V186"/>
  <c r="V25"/>
  <c r="V13"/>
  <c r="V17"/>
  <c r="V212"/>
  <c r="V34"/>
  <c r="J104"/>
  <c r="V104" s="1"/>
  <c r="V106"/>
  <c r="V41"/>
  <c r="H136"/>
  <c r="H131" s="1"/>
  <c r="N194"/>
  <c r="F194"/>
  <c r="V194" s="1"/>
  <c r="N160"/>
  <c r="N159" s="1"/>
  <c r="J160"/>
  <c r="F160"/>
  <c r="R196"/>
  <c r="R194" s="1"/>
  <c r="N91"/>
  <c r="N88" s="1"/>
  <c r="F91"/>
  <c r="V91" s="1"/>
  <c r="J43"/>
  <c r="J141"/>
  <c r="Q140"/>
  <c r="P140"/>
  <c r="J114"/>
  <c r="Q131"/>
  <c r="L131"/>
  <c r="H209"/>
  <c r="J60"/>
  <c r="M72"/>
  <c r="Q72"/>
  <c r="L72"/>
  <c r="F226"/>
  <c r="N226"/>
  <c r="N219" s="1"/>
  <c r="F141"/>
  <c r="J146"/>
  <c r="R146"/>
  <c r="I140"/>
  <c r="L140"/>
  <c r="T72"/>
  <c r="U72"/>
  <c r="P72"/>
  <c r="K72"/>
  <c r="R114"/>
  <c r="J190"/>
  <c r="H72"/>
  <c r="R141"/>
  <c r="U140"/>
  <c r="K140"/>
  <c r="T140"/>
  <c r="M140"/>
  <c r="H140"/>
  <c r="N60"/>
  <c r="G159"/>
  <c r="N141"/>
  <c r="S209"/>
  <c r="J226"/>
  <c r="J219" s="1"/>
  <c r="R226"/>
  <c r="R219" s="1"/>
  <c r="H9"/>
  <c r="F146"/>
  <c r="N146"/>
  <c r="G140"/>
  <c r="R60"/>
  <c r="O209"/>
  <c r="S140"/>
  <c r="O140"/>
  <c r="O72"/>
  <c r="S72"/>
  <c r="G72"/>
  <c r="F60"/>
  <c r="G209"/>
  <c r="I72"/>
  <c r="H46"/>
  <c r="I46"/>
  <c r="T131"/>
  <c r="O131"/>
  <c r="I131"/>
  <c r="N190"/>
  <c r="L219"/>
  <c r="M46"/>
  <c r="R55"/>
  <c r="N64"/>
  <c r="T46"/>
  <c r="O46"/>
  <c r="J117"/>
  <c r="G131"/>
  <c r="J136"/>
  <c r="R136"/>
  <c r="S170"/>
  <c r="G170"/>
  <c r="I189"/>
  <c r="J200"/>
  <c r="R200"/>
  <c r="U46"/>
  <c r="N114"/>
  <c r="Q9"/>
  <c r="F38"/>
  <c r="U131"/>
  <c r="P131"/>
  <c r="K131"/>
  <c r="L170"/>
  <c r="U170"/>
  <c r="L189"/>
  <c r="M189"/>
  <c r="S219"/>
  <c r="G219"/>
  <c r="L159"/>
  <c r="M9"/>
  <c r="F64"/>
  <c r="K46"/>
  <c r="J132"/>
  <c r="R182"/>
  <c r="S189"/>
  <c r="T219"/>
  <c r="U9"/>
  <c r="K9"/>
  <c r="R30"/>
  <c r="R47"/>
  <c r="S46"/>
  <c r="F114"/>
  <c r="N117"/>
  <c r="R117"/>
  <c r="F136"/>
  <c r="N136"/>
  <c r="P170"/>
  <c r="K170"/>
  <c r="J182"/>
  <c r="K189"/>
  <c r="Q189"/>
  <c r="Q219"/>
  <c r="H170"/>
  <c r="M219"/>
  <c r="S9"/>
  <c r="G9"/>
  <c r="P46"/>
  <c r="R132"/>
  <c r="N182"/>
  <c r="G189"/>
  <c r="I219"/>
  <c r="O219"/>
  <c r="H159"/>
  <c r="O9"/>
  <c r="I9"/>
  <c r="Q46"/>
  <c r="L46"/>
  <c r="F68"/>
  <c r="S131"/>
  <c r="M131"/>
  <c r="T159"/>
  <c r="O170"/>
  <c r="Q170"/>
  <c r="M170"/>
  <c r="I170"/>
  <c r="O189"/>
  <c r="U189"/>
  <c r="J210"/>
  <c r="R210"/>
  <c r="J214"/>
  <c r="U219"/>
  <c r="P219"/>
  <c r="K219"/>
  <c r="H219"/>
  <c r="R171"/>
  <c r="N210"/>
  <c r="N200"/>
  <c r="F200"/>
  <c r="R190"/>
  <c r="R214"/>
  <c r="F214"/>
  <c r="N30"/>
  <c r="P159"/>
  <c r="N73"/>
  <c r="N68"/>
  <c r="N171"/>
  <c r="F171"/>
  <c r="T189"/>
  <c r="P189"/>
  <c r="H189"/>
  <c r="J171"/>
  <c r="J47"/>
  <c r="J38"/>
  <c r="J30"/>
  <c r="F30"/>
  <c r="F47"/>
  <c r="F55"/>
  <c r="F73"/>
  <c r="F117"/>
  <c r="F182"/>
  <c r="F210"/>
  <c r="F10"/>
  <c r="F190"/>
  <c r="R73"/>
  <c r="J73"/>
  <c r="T170"/>
  <c r="R10"/>
  <c r="N10"/>
  <c r="J10"/>
  <c r="L9"/>
  <c r="R68"/>
  <c r="J68"/>
  <c r="V68" s="1"/>
  <c r="J55"/>
  <c r="N47"/>
  <c r="R38"/>
  <c r="N38"/>
  <c r="T9"/>
  <c r="P9"/>
  <c r="J18"/>
  <c r="N43"/>
  <c r="J81"/>
  <c r="R81"/>
  <c r="F122"/>
  <c r="J122"/>
  <c r="N122"/>
  <c r="R122"/>
  <c r="N214"/>
  <c r="N18"/>
  <c r="F81"/>
  <c r="N81"/>
  <c r="R18"/>
  <c r="N55"/>
  <c r="J64"/>
  <c r="R64"/>
  <c r="F132"/>
  <c r="N132"/>
  <c r="J88"/>
  <c r="R88"/>
  <c r="F96"/>
  <c r="J96"/>
  <c r="N96"/>
  <c r="R96"/>
  <c r="V214" l="1"/>
  <c r="V60"/>
  <c r="V136"/>
  <c r="V190"/>
  <c r="V141"/>
  <c r="V182"/>
  <c r="V122"/>
  <c r="V117"/>
  <c r="V171"/>
  <c r="V146"/>
  <c r="F159"/>
  <c r="V55"/>
  <c r="V64"/>
  <c r="V96"/>
  <c r="V200"/>
  <c r="V114"/>
  <c r="V43"/>
  <c r="F219"/>
  <c r="V219" s="1"/>
  <c r="V226"/>
  <c r="V81"/>
  <c r="V47"/>
  <c r="V132"/>
  <c r="F88"/>
  <c r="V88" s="1"/>
  <c r="V73"/>
  <c r="V10"/>
  <c r="V210"/>
  <c r="V30"/>
  <c r="J159"/>
  <c r="V160"/>
  <c r="V38"/>
  <c r="J131"/>
  <c r="N209"/>
  <c r="J140"/>
  <c r="R131"/>
  <c r="F140"/>
  <c r="R140"/>
  <c r="M8"/>
  <c r="K8"/>
  <c r="R209"/>
  <c r="J209"/>
  <c r="N140"/>
  <c r="J72"/>
  <c r="N131"/>
  <c r="J170"/>
  <c r="R72"/>
  <c r="N72"/>
  <c r="F209"/>
  <c r="J189"/>
  <c r="N170"/>
  <c r="F131"/>
  <c r="F170"/>
  <c r="F46"/>
  <c r="O8"/>
  <c r="S8"/>
  <c r="Q8"/>
  <c r="U8"/>
  <c r="N46"/>
  <c r="R46"/>
  <c r="R170"/>
  <c r="J46"/>
  <c r="I8"/>
  <c r="R189"/>
  <c r="N189"/>
  <c r="F189"/>
  <c r="P8"/>
  <c r="R9"/>
  <c r="H8"/>
  <c r="T8"/>
  <c r="L8"/>
  <c r="J9"/>
  <c r="N9"/>
  <c r="F18"/>
  <c r="F9" s="1"/>
  <c r="V159" l="1"/>
  <c r="V140"/>
  <c r="V131"/>
  <c r="F72"/>
  <c r="F8" s="1"/>
  <c r="V189"/>
  <c r="V170"/>
  <c r="V72"/>
  <c r="V18"/>
  <c r="V209"/>
  <c r="V46"/>
  <c r="V9"/>
  <c r="J8"/>
  <c r="R8"/>
  <c r="N8"/>
  <c r="V8" l="1"/>
  <c r="G68" l="1"/>
  <c r="G46" s="1"/>
  <c r="G8" s="1"/>
</calcChain>
</file>

<file path=xl/sharedStrings.xml><?xml version="1.0" encoding="utf-8"?>
<sst xmlns="http://schemas.openxmlformats.org/spreadsheetml/2006/main" count="718" uniqueCount="385">
  <si>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</si>
  <si>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</si>
  <si>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</si>
  <si>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</si>
  <si>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</si>
  <si>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</si>
  <si>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</si>
  <si>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</si>
  <si>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</si>
  <si>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</si>
  <si>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</si>
  <si>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</si>
  <si>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</si>
  <si>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</si>
  <si>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</si>
  <si>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</si>
  <si>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</si>
  <si>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</si>
  <si>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</si>
  <si>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</si>
  <si>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</si>
  <si>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</si>
  <si>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</si>
  <si>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</si>
  <si>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</si>
  <si>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</si>
  <si>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</si>
  <si>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</si>
  <si>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</si>
  <si>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</si>
  <si>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</si>
  <si>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</si>
  <si>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</si>
  <si>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</si>
  <si>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</si>
  <si>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</si>
  <si>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</si>
  <si>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</si>
  <si>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</si>
  <si>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</si>
  <si>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</si>
  <si>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</si>
  <si>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</si>
  <si>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</si>
  <si>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</si>
  <si>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Организация проведения профилактических медицинских осмотров</t>
  </si>
  <si>
    <t>Оказание медицинской помощи с применением санитарной авиации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</si>
  <si>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</si>
  <si>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</si>
  <si>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</si>
  <si>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</si>
  <si>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Профилактика развития сердечно-сосудистых заболеваний и сердечно-сосудистых осложнений у пациентов высокого риска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</si>
  <si>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</si>
  <si>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</si>
  <si>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</si>
  <si>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Развитие профилактического направления в педиатрии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</si>
  <si>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</si>
  <si>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</si>
  <si>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</si>
  <si>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Обеспечение работоспособности государственных информационных систем в сфере здравоохранения, подключенных к ЕГИСЗ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</si>
  <si>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</si>
  <si>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</si>
  <si>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</si>
  <si>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</si>
  <si>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</si>
  <si>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</si>
  <si>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</si>
  <si>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</si>
  <si>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</si>
  <si>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</si>
  <si>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</si>
  <si>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</si>
  <si>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</si>
  <si>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</si>
  <si>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</si>
  <si>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</si>
  <si>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</si>
  <si>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</si>
  <si>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</si>
  <si>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</si>
  <si>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</si>
  <si>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</si>
  <si>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</si>
  <si>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</si>
  <si>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</si>
  <si>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</si>
  <si>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</si>
  <si>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</si>
  <si>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</si>
  <si>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</si>
  <si>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4.1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</si>
  <si>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</si>
  <si>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</si>
  <si>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</si>
  <si>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</si>
  <si>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</si>
  <si>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</si>
  <si>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</si>
  <si>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</si>
  <si>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</si>
  <si>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</si>
  <si>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</si>
  <si>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</si>
  <si>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</si>
  <si>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</si>
  <si>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</si>
  <si>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</si>
  <si>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</si>
  <si>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</si>
  <si>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</si>
  <si>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</si>
  <si>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</si>
  <si>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</si>
  <si>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</si>
  <si>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</si>
  <si>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</si>
  <si>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</si>
  <si>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</si>
  <si>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</si>
  <si>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</si>
  <si>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</si>
  <si>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</si>
  <si>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</si>
  <si>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</si>
  <si>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</si>
  <si>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</si>
  <si>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</si>
  <si>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</si>
  <si>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</si>
  <si>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</si>
  <si>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</si>
  <si>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</si>
  <si>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</si>
  <si>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</si>
  <si>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</si>
  <si>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</si>
  <si>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</si>
  <si>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</si>
  <si>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</si>
  <si>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</si>
  <si>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</si>
  <si>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</si>
  <si>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</si>
  <si>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</si>
  <si>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</si>
  <si>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</si>
  <si>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</si>
  <si>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</si>
  <si>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</si>
  <si>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</si>
  <si>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</si>
  <si>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</si>
  <si>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</si>
  <si>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</si>
  <si>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</si>
  <si>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</si>
  <si>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</si>
  <si>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</si>
  <si>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</si>
  <si>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</si>
  <si>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</si>
  <si>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</si>
  <si>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</si>
  <si>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</si>
  <si>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</si>
  <si>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</si>
  <si>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</si>
  <si>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</si>
  <si>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</si>
  <si>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</si>
  <si>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</si>
  <si>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</si>
  <si>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</si>
  <si>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</si>
  <si>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</si>
  <si>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Плановые ассигнования*, в том числе</t>
  </si>
  <si>
    <t>2021 год</t>
  </si>
  <si>
    <t>2022 год</t>
  </si>
  <si>
    <t>03WI455271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</si>
  <si>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</si>
  <si>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</si>
  <si>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03WI555272</t>
  </si>
  <si>
    <t>03WI555273</t>
  </si>
  <si>
    <t>Финансовое обеспечение затрат на развитие и обеспечение деятельности Гарантийного фонда Томской области</t>
  </si>
  <si>
    <t>Поддержка малого и среднего предпринимательства в субъектах Российской Федерации по созданию системы акселерации субъектов МСП, включая индивидуальных предпринимателей, в том числе инфраструктуры и сервисов поддержки, а также их ускоренное развитие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</si>
  <si>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</si>
  <si>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</si>
  <si>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</si>
  <si>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</si>
  <si>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</si>
  <si>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</si>
  <si>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</si>
  <si>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</si>
  <si>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</si>
  <si>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</si>
  <si>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</si>
  <si>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Возмещение затрат некоммерческим организациям на переобучение, повышение квалификации работников организаций - участников регионального проекта "Поддержка занятости и повышение эффективности рынка труда для обеспечения роста производительности труда"</t>
  </si>
  <si>
    <t>05WL355693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</si>
  <si>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</si>
  <si>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</si>
  <si>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</si>
  <si>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</si>
  <si>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05WP254613</t>
  </si>
  <si>
    <t>Возмещение затрат некоммерческим организациям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</si>
  <si>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</si>
  <si>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</si>
  <si>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</si>
  <si>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</si>
  <si>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</si>
  <si>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</si>
  <si>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Региональный проект "Международная кооперация и экспорт"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</si>
  <si>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</si>
  <si>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</si>
  <si>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</si>
  <si>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</si>
  <si>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</si>
  <si>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</si>
  <si>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</si>
  <si>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</si>
  <si>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</si>
  <si>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</si>
  <si>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</si>
  <si>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</si>
  <si>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</si>
  <si>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</si>
  <si>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</si>
  <si>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07WP354680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</si>
  <si>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</si>
  <si>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</si>
  <si>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</si>
  <si>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</si>
  <si>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</si>
  <si>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</si>
  <si>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</si>
  <si>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</si>
  <si>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</si>
  <si>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</si>
  <si>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</si>
  <si>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</si>
  <si>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</si>
  <si>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</si>
  <si>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</si>
  <si>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</si>
  <si>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</si>
  <si>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</si>
  <si>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</si>
  <si>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</si>
  <si>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</si>
  <si>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</si>
  <si>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</si>
  <si>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</si>
  <si>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</si>
  <si>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</si>
  <si>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</si>
  <si>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</si>
  <si>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</si>
  <si>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</si>
  <si>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</si>
  <si>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</si>
  <si>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</si>
  <si>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</si>
  <si>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</si>
  <si>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</si>
  <si>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</si>
  <si>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</si>
  <si>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</si>
  <si>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</si>
  <si>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</si>
  <si>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Возмещение затрат работодателям на профессиональное обучение и дополнительное профессиональное образование работников в возрасте 50-ти лет и старше, а также лиц предпенсионного возраста</t>
  </si>
  <si>
    <t>11WP352941</t>
  </si>
  <si>
    <t>Возмещение затрат некоммерческим организациям на профессиональное обучение и дополнительное профессиональное образование граждан в возрасте 50-ти лет и старше, а также лиц предпенсионного возраста</t>
  </si>
  <si>
    <t>11WP352943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</si>
  <si>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</si>
  <si>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</si>
  <si>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</si>
  <si>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</si>
  <si>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</si>
  <si>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</si>
  <si>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</si>
  <si>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</si>
  <si>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Доведение уровня безопасности объектов критической информационной инфраструктуры до установленных законодательством Российской Федерации требований</t>
  </si>
  <si>
    <t>20WD454070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</si>
  <si>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</si>
  <si>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</si>
  <si>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</si>
  <si>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</si>
  <si>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</si>
  <si>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</si>
  <si>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</si>
  <si>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</si>
  <si>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</si>
  <si>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</si>
  <si>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</si>
  <si>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</si>
  <si>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</si>
  <si>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</si>
  <si>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</si>
  <si>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</si>
  <si>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</si>
  <si>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</si>
  <si>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</si>
  <si>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</si>
  <si>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</si>
  <si>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</si>
  <si>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</si>
  <si>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</si>
  <si>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</si>
  <si>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</si>
  <si>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</si>
  <si>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</si>
  <si>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</si>
  <si>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</si>
  <si>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26WG252970</t>
  </si>
  <si>
    <t>07WN751141</t>
  </si>
  <si>
    <t>07WN1Д5540</t>
  </si>
  <si>
    <t>07WN100001</t>
  </si>
  <si>
    <t>07WN2Д0002</t>
  </si>
  <si>
    <t>07WN400004</t>
  </si>
  <si>
    <t>07WP4Д0003</t>
  </si>
  <si>
    <t>07WN100101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</si>
  <si>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</si>
  <si>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</si>
  <si>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</si>
  <si>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08WP540590</t>
  </si>
  <si>
    <t>Приобретение в муниципальную собственность объектов спортивного назначения</t>
  </si>
  <si>
    <t>08WP540006</t>
  </si>
  <si>
    <t>08WP540600</t>
  </si>
  <si>
    <t>Приобретение спортивно-технологического оборудования для создания хоккейных коробок с возможностью использования в летний период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</si>
  <si>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</si>
  <si>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</si>
  <si>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</si>
  <si>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</si>
  <si>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</si>
  <si>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</si>
  <si>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</si>
  <si>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</si>
  <si>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</si>
  <si>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</si>
  <si>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</si>
  <si>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</si>
  <si>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</si>
  <si>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09WE155202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</si>
  <si>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</si>
  <si>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09WE155201</t>
  </si>
  <si>
    <t>09WE262352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</si>
  <si>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</si>
  <si>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</si>
  <si>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</si>
  <si>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</si>
  <si>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</si>
  <si>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</si>
  <si>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</si>
  <si>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</si>
  <si>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</si>
  <si>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</si>
  <si>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</si>
  <si>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</si>
  <si>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</si>
  <si>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</si>
  <si>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</si>
  <si>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11WP30П009</t>
  </si>
  <si>
    <t>Разработка (корректировка) проектной документации в сфере социального обслуживания населения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</si>
  <si>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</si>
  <si>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09WP24П090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</si>
  <si>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</si>
  <si>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</si>
  <si>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</si>
  <si>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</si>
  <si>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</si>
  <si>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</si>
  <si>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</si>
  <si>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</si>
  <si>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</si>
  <si>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</si>
  <si>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</si>
  <si>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(тыс. руб.)</t>
  </si>
  <si>
    <t>Департамент защиты населения и территории Томской области</t>
  </si>
  <si>
    <t>* по данным сводной бюджетной росписи областного бюджета на 2020-2022 годы по состоянию на отчетную дату; лимиты бюджетных обязательств соответствуют плановым назначениям</t>
  </si>
  <si>
    <t>Поддержка малого и среднего предпринимательства по созданию системы акселерации субъектов малого и среднего предпринимательства, включая индивидуальных предпринимателей, в том числе инфраструктуры и сервисов поддержки, а также их ускоренное развитие</t>
  </si>
  <si>
    <t>03WI555276</t>
  </si>
  <si>
    <t>06WI754804</t>
  </si>
  <si>
    <t>% исполнения (2020 год)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</si>
  <si>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</si>
  <si>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</si>
  <si>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01.04.2020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</si>
</sst>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theme="1"/>
      <name val="Times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" fontId="2" fillId="3" borderId="4" xfId="0" applyNumberFormat="1" applyFont="1" applyFill="1" applyBorder="1" applyAlignment="1">
      <alignment horizontal="center" vertical="top"/>
    </xf>
    <xf numFmtId="164" fontId="10" fillId="0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/>
    </xf>
    <xf numFmtId="164" fontId="1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horizontal="center" vertical="top"/>
    </xf>
    <xf numFmtId="164" fontId="1" fillId="0" borderId="4" xfId="0" applyNumberFormat="1" applyFont="1" applyFill="1" applyBorder="1" applyAlignment="1">
      <alignment horizontal="center" vertical="top"/>
    </xf>
    <xf numFmtId="164" fontId="11" fillId="0" borderId="4" xfId="0" applyNumberFormat="1" applyFont="1" applyFill="1" applyBorder="1" applyAlignment="1">
      <alignment horizontal="center" vertical="top"/>
    </xf>
    <xf numFmtId="164" fontId="12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vertical="top"/>
    </xf>
    <xf numFmtId="164" fontId="11" fillId="0" borderId="4" xfId="0" applyNumberFormat="1" applyFont="1" applyFill="1" applyBorder="1" applyAlignment="1">
      <alignment vertical="top"/>
    </xf>
    <xf numFmtId="164" fontId="13" fillId="3" borderId="4" xfId="0" applyNumberFormat="1" applyFont="1" applyFill="1" applyBorder="1" applyAlignment="1">
      <alignment vertical="top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top" wrapText="1"/>
    </xf>
    <xf numFmtId="0" fontId="0" fillId="3" borderId="0" xfId="0" applyFill="1"/>
    <xf numFmtId="164" fontId="1" fillId="0" borderId="4" xfId="0" applyNumberFormat="1" applyFont="1" applyFill="1" applyBorder="1" applyAlignment="1">
      <alignment vertical="top"/>
    </xf>
    <xf numFmtId="0" fontId="5" fillId="4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165" fontId="10" fillId="3" borderId="4" xfId="0" applyNumberFormat="1" applyFont="1" applyFill="1" applyBorder="1" applyAlignment="1">
      <alignment horizontal="center" vertical="top" wrapText="1"/>
    </xf>
    <xf numFmtId="165" fontId="1" fillId="2" borderId="4" xfId="0" applyNumberFormat="1" applyFont="1" applyFill="1" applyBorder="1" applyAlignment="1">
      <alignment horizontal="center" vertical="top"/>
    </xf>
    <xf numFmtId="165" fontId="1" fillId="3" borderId="4" xfId="0" applyNumberFormat="1" applyFont="1" applyFill="1" applyBorder="1" applyAlignment="1">
      <alignment horizontal="center" vertical="top"/>
    </xf>
    <xf numFmtId="165" fontId="1" fillId="0" borderId="4" xfId="0" applyNumberFormat="1" applyFont="1" applyFill="1" applyBorder="1" applyAlignment="1">
      <alignment horizontal="center" vertical="top"/>
    </xf>
    <xf numFmtId="0" fontId="14" fillId="0" borderId="0" xfId="0" applyFont="1" applyFill="1" applyAlignment="1">
      <alignment horizontal="center"/>
    </xf>
    <xf numFmtId="165" fontId="11" fillId="3" borderId="4" xfId="0" applyNumberFormat="1" applyFont="1" applyFill="1" applyBorder="1" applyAlignment="1">
      <alignment vertical="top"/>
    </xf>
    <xf numFmtId="165" fontId="13" fillId="3" borderId="4" xfId="0" applyNumberFormat="1" applyFont="1" applyFill="1" applyBorder="1" applyAlignment="1">
      <alignment vertical="top"/>
    </xf>
    <xf numFmtId="164" fontId="11" fillId="3" borderId="1" xfId="0" applyNumberFormat="1" applyFont="1" applyFill="1" applyBorder="1" applyAlignment="1">
      <alignment horizontal="center" vertical="top"/>
    </xf>
    <xf numFmtId="164" fontId="11" fillId="3" borderId="6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52"/>
  <sheetViews>
    <sheetView tabSelected="1" zoomScale="83" zoomScaleNormal="83" workbookViewId="0">
      <pane xSplit="5" ySplit="7" topLeftCell="F29" activePane="bottomRight" state="frozen"/>
      <selection pane="topRight" activeCell="F1" sqref="F1"/>
      <selection pane="bottomLeft" activeCell="A8" sqref="A8"/>
      <selection pane="bottomRight" activeCell="M32" sqref="M32"/>
    </sheetView>
  </sheetViews>
  <sheetFormatPr defaultColWidth="8.85546875" defaultRowHeight="15"/>
  <cols>
    <col min="1" max="1" width="6.42578125" style="2" customWidth="1"/>
    <col min="2" max="2" width="49" style="12" customWidth="1"/>
    <col min="3" max="3" width="7.7109375" style="2" customWidth="1"/>
    <col min="4" max="4" width="25.5703125" style="2" bestFit="1" customWidth="1"/>
    <col min="5" max="5" width="21.28515625" style="2" customWidth="1"/>
    <col min="6" max="6" width="17.42578125" style="2" bestFit="1" customWidth="1"/>
    <col min="7" max="7" width="16" style="2" bestFit="1" customWidth="1"/>
    <col min="8" max="8" width="16.42578125" style="2" bestFit="1" customWidth="1"/>
    <col min="9" max="9" width="13.5703125" style="2" bestFit="1" customWidth="1"/>
    <col min="10" max="10" width="15" style="2" customWidth="1"/>
    <col min="11" max="11" width="21.7109375" style="2" customWidth="1"/>
    <col min="12" max="12" width="16.42578125" style="2" bestFit="1" customWidth="1"/>
    <col min="13" max="13" width="13.5703125" style="2" bestFit="1" customWidth="1"/>
    <col min="14" max="14" width="17.42578125" style="2" customWidth="1"/>
    <col min="15" max="15" width="16" style="2" customWidth="1"/>
    <col min="16" max="16" width="17" style="2" customWidth="1"/>
    <col min="17" max="17" width="13.5703125" style="2" customWidth="1"/>
    <col min="18" max="19" width="16" style="2" customWidth="1"/>
    <col min="20" max="20" width="18.28515625" style="2" customWidth="1"/>
    <col min="21" max="21" width="13.5703125" style="2" customWidth="1"/>
    <col min="22" max="22" width="15.28515625" style="2" customWidth="1"/>
    <col min="23" max="23" width="8.85546875" style="2"/>
    <col min="24" max="24" width="11" style="2" bestFit="1" customWidth="1"/>
    <col min="25" max="16384" width="8.85546875" style="2"/>
  </cols>
  <sheetData>
    <row r="1" spans="1:24" ht="15" customHeight="1">
      <c r="A1" s="77" t="s">
        <v>384</v>
      </c>
      <c r="B1" s="77"/>
      <c r="C1" s="77"/>
      <c r="D1" s="77"/>
      <c r="E1" s="77"/>
    </row>
    <row r="2" spans="1:24" ht="37.5" customHeight="1">
      <c r="A2" s="77"/>
      <c r="B2" s="77"/>
      <c r="C2" s="77"/>
      <c r="D2" s="77"/>
      <c r="E2" s="77"/>
      <c r="K2" s="23"/>
    </row>
    <row r="3" spans="1:24" ht="15.75">
      <c r="E3" s="3"/>
      <c r="U3" s="72" t="s">
        <v>375</v>
      </c>
    </row>
    <row r="4" spans="1:24" ht="16.5" customHeight="1">
      <c r="A4" s="78" t="s">
        <v>0</v>
      </c>
      <c r="B4" s="86" t="s">
        <v>1</v>
      </c>
      <c r="C4" s="78" t="s">
        <v>2</v>
      </c>
      <c r="D4" s="78" t="s">
        <v>3</v>
      </c>
      <c r="E4" s="78" t="s">
        <v>4</v>
      </c>
      <c r="F4" s="83" t="s">
        <v>174</v>
      </c>
      <c r="G4" s="84"/>
      <c r="H4" s="84"/>
      <c r="I4" s="84"/>
      <c r="J4" s="84"/>
      <c r="K4" s="84"/>
      <c r="L4" s="84"/>
      <c r="M4" s="85"/>
      <c r="N4" s="92" t="s">
        <v>176</v>
      </c>
      <c r="O4" s="92"/>
      <c r="P4" s="92"/>
      <c r="Q4" s="92"/>
      <c r="R4" s="92" t="s">
        <v>177</v>
      </c>
      <c r="S4" s="92"/>
      <c r="T4" s="92"/>
      <c r="U4" s="92"/>
      <c r="V4" s="89" t="s">
        <v>381</v>
      </c>
    </row>
    <row r="5" spans="1:24" ht="16.5" customHeight="1">
      <c r="A5" s="81"/>
      <c r="B5" s="87"/>
      <c r="C5" s="81"/>
      <c r="D5" s="81"/>
      <c r="E5" s="79"/>
      <c r="F5" s="83" t="s">
        <v>5</v>
      </c>
      <c r="G5" s="84"/>
      <c r="H5" s="84"/>
      <c r="I5" s="85"/>
      <c r="J5" s="83" t="s">
        <v>6</v>
      </c>
      <c r="K5" s="84"/>
      <c r="L5" s="84"/>
      <c r="M5" s="85"/>
      <c r="N5" s="83" t="s">
        <v>5</v>
      </c>
      <c r="O5" s="84"/>
      <c r="P5" s="84"/>
      <c r="Q5" s="85"/>
      <c r="R5" s="83" t="s">
        <v>175</v>
      </c>
      <c r="S5" s="84"/>
      <c r="T5" s="84"/>
      <c r="U5" s="85"/>
      <c r="V5" s="90"/>
    </row>
    <row r="6" spans="1:24" ht="71.45" customHeight="1">
      <c r="A6" s="82"/>
      <c r="B6" s="88"/>
      <c r="C6" s="82"/>
      <c r="D6" s="82"/>
      <c r="E6" s="80"/>
      <c r="F6" s="24" t="s">
        <v>7</v>
      </c>
      <c r="G6" s="24" t="s">
        <v>8</v>
      </c>
      <c r="H6" s="24" t="s">
        <v>9</v>
      </c>
      <c r="I6" s="24" t="s">
        <v>10</v>
      </c>
      <c r="J6" s="24" t="s">
        <v>7</v>
      </c>
      <c r="K6" s="24" t="s">
        <v>8</v>
      </c>
      <c r="L6" s="24" t="s">
        <v>9</v>
      </c>
      <c r="M6" s="24" t="s">
        <v>10</v>
      </c>
      <c r="N6" s="24" t="s">
        <v>7</v>
      </c>
      <c r="O6" s="24" t="s">
        <v>8</v>
      </c>
      <c r="P6" s="24" t="s">
        <v>9</v>
      </c>
      <c r="Q6" s="24" t="s">
        <v>10</v>
      </c>
      <c r="R6" s="24" t="s">
        <v>7</v>
      </c>
      <c r="S6" s="24" t="s">
        <v>8</v>
      </c>
      <c r="T6" s="24" t="s">
        <v>9</v>
      </c>
      <c r="U6" s="24" t="s">
        <v>10</v>
      </c>
      <c r="V6" s="91"/>
    </row>
    <row r="7" spans="1:24" ht="16.5">
      <c r="A7" s="57" t="s">
        <v>11</v>
      </c>
      <c r="B7" s="13">
        <v>2</v>
      </c>
      <c r="C7" s="5">
        <v>3</v>
      </c>
      <c r="D7" s="5">
        <v>4</v>
      </c>
      <c r="E7" s="5">
        <v>5</v>
      </c>
      <c r="F7" s="24">
        <v>14</v>
      </c>
      <c r="G7" s="24">
        <v>15</v>
      </c>
      <c r="H7" s="24">
        <v>16</v>
      </c>
      <c r="I7" s="24">
        <v>17</v>
      </c>
      <c r="J7" s="24">
        <v>18</v>
      </c>
      <c r="K7" s="24">
        <v>19</v>
      </c>
      <c r="L7" s="24">
        <v>20</v>
      </c>
      <c r="M7" s="24">
        <v>21</v>
      </c>
      <c r="N7" s="24">
        <v>22</v>
      </c>
      <c r="O7" s="24">
        <v>23</v>
      </c>
      <c r="P7" s="24">
        <v>24</v>
      </c>
      <c r="Q7" s="24">
        <v>25</v>
      </c>
      <c r="R7" s="24">
        <v>26</v>
      </c>
      <c r="S7" s="24">
        <v>27</v>
      </c>
      <c r="T7" s="24">
        <v>28</v>
      </c>
      <c r="U7" s="24">
        <v>29</v>
      </c>
      <c r="V7" s="67">
        <v>30</v>
      </c>
    </row>
    <row r="8" spans="1:24" ht="19.5">
      <c r="A8" s="58"/>
      <c r="B8" s="14" t="s">
        <v>12</v>
      </c>
      <c r="C8" s="5"/>
      <c r="D8" s="5"/>
      <c r="E8" s="5"/>
      <c r="F8" s="47">
        <f t="shared" ref="F8:U8" si="0">F9+F46+F72+F113+F131+F140+F159+F170+F189+F209+F219</f>
        <v>13104729.4</v>
      </c>
      <c r="G8" s="63">
        <f t="shared" si="0"/>
        <v>6032380.5999999996</v>
      </c>
      <c r="H8" s="63">
        <f t="shared" si="0"/>
        <v>6571376.0999999996</v>
      </c>
      <c r="I8" s="63">
        <f t="shared" si="0"/>
        <v>500972.7</v>
      </c>
      <c r="J8" s="47">
        <f t="shared" si="0"/>
        <v>1868074.5</v>
      </c>
      <c r="K8" s="47">
        <f t="shared" si="0"/>
        <v>1569475.6</v>
      </c>
      <c r="L8" s="63">
        <f t="shared" si="0"/>
        <v>281474.90000000002</v>
      </c>
      <c r="M8" s="63">
        <f t="shared" si="0"/>
        <v>17124</v>
      </c>
      <c r="N8" s="47">
        <f t="shared" si="0"/>
        <v>15085799</v>
      </c>
      <c r="O8" s="63">
        <f t="shared" si="0"/>
        <v>6574776</v>
      </c>
      <c r="P8" s="63">
        <f t="shared" si="0"/>
        <v>8111132.4000000004</v>
      </c>
      <c r="Q8" s="63">
        <f t="shared" si="0"/>
        <v>399890.6</v>
      </c>
      <c r="R8" s="47">
        <f t="shared" si="0"/>
        <v>10496535.699999999</v>
      </c>
      <c r="S8" s="63">
        <f t="shared" si="0"/>
        <v>6507288.5999999996</v>
      </c>
      <c r="T8" s="63">
        <f t="shared" si="0"/>
        <v>3929726.7</v>
      </c>
      <c r="U8" s="63">
        <f t="shared" si="0"/>
        <v>59520.4</v>
      </c>
      <c r="V8" s="68">
        <f>J8/F8</f>
        <v>0.14299999999999999</v>
      </c>
      <c r="X8" s="23"/>
    </row>
    <row r="9" spans="1:24" ht="18.75">
      <c r="A9" s="59">
        <v>1</v>
      </c>
      <c r="B9" s="21" t="s">
        <v>13</v>
      </c>
      <c r="C9" s="1" t="s">
        <v>14</v>
      </c>
      <c r="D9" s="1" t="s">
        <v>14</v>
      </c>
      <c r="E9" s="1" t="s">
        <v>14</v>
      </c>
      <c r="F9" s="48">
        <f t="shared" ref="F9:U9" si="1">F10+F18+F30+F38+F43</f>
        <v>3315796</v>
      </c>
      <c r="G9" s="48">
        <f t="shared" si="1"/>
        <v>1498050.6</v>
      </c>
      <c r="H9" s="48">
        <f t="shared" si="1"/>
        <v>1773434.7</v>
      </c>
      <c r="I9" s="48">
        <f t="shared" si="1"/>
        <v>44310.7</v>
      </c>
      <c r="J9" s="48">
        <f t="shared" si="1"/>
        <v>478254.9</v>
      </c>
      <c r="K9" s="48">
        <f t="shared" si="1"/>
        <v>262925</v>
      </c>
      <c r="L9" s="48">
        <f t="shared" si="1"/>
        <v>210243.5</v>
      </c>
      <c r="M9" s="48">
        <f t="shared" si="1"/>
        <v>5086.3999999999996</v>
      </c>
      <c r="N9" s="48">
        <f t="shared" si="1"/>
        <v>3802737.2</v>
      </c>
      <c r="O9" s="48">
        <f t="shared" si="1"/>
        <v>1277418.3</v>
      </c>
      <c r="P9" s="48">
        <f t="shared" si="1"/>
        <v>2515511.1</v>
      </c>
      <c r="Q9" s="48">
        <f t="shared" si="1"/>
        <v>9807.7999999999993</v>
      </c>
      <c r="R9" s="48">
        <f t="shared" si="1"/>
        <v>2622026.7000000002</v>
      </c>
      <c r="S9" s="48">
        <f t="shared" si="1"/>
        <v>877483.5</v>
      </c>
      <c r="T9" s="48">
        <f t="shared" si="1"/>
        <v>1736065</v>
      </c>
      <c r="U9" s="48">
        <f t="shared" si="1"/>
        <v>8478.2000000000007</v>
      </c>
      <c r="V9" s="69">
        <f t="shared" ref="V9:V60" si="2">J9/F9</f>
        <v>0.14399999999999999</v>
      </c>
    </row>
    <row r="10" spans="1:24" ht="33">
      <c r="A10" s="43" t="s">
        <v>15</v>
      </c>
      <c r="B10" s="28" t="s">
        <v>16</v>
      </c>
      <c r="C10" s="29" t="s">
        <v>14</v>
      </c>
      <c r="D10" s="29" t="s">
        <v>14</v>
      </c>
      <c r="E10" s="29" t="s">
        <v>14</v>
      </c>
      <c r="F10" s="49">
        <f t="shared" ref="F10:U10" si="3">SUM(F12:F17)</f>
        <v>266678.90000000002</v>
      </c>
      <c r="G10" s="49">
        <f t="shared" si="3"/>
        <v>43280.1</v>
      </c>
      <c r="H10" s="49">
        <f t="shared" si="3"/>
        <v>223398.8</v>
      </c>
      <c r="I10" s="49">
        <f t="shared" si="3"/>
        <v>0</v>
      </c>
      <c r="J10" s="49">
        <f t="shared" si="3"/>
        <v>44722.400000000001</v>
      </c>
      <c r="K10" s="49">
        <f t="shared" si="3"/>
        <v>1341.7</v>
      </c>
      <c r="L10" s="49">
        <f t="shared" si="3"/>
        <v>43380.7</v>
      </c>
      <c r="M10" s="49">
        <f t="shared" si="3"/>
        <v>0</v>
      </c>
      <c r="N10" s="49">
        <f t="shared" si="3"/>
        <v>117183.1</v>
      </c>
      <c r="O10" s="49">
        <f t="shared" si="3"/>
        <v>39795.300000000003</v>
      </c>
      <c r="P10" s="49">
        <f t="shared" si="3"/>
        <v>77387.8</v>
      </c>
      <c r="Q10" s="49">
        <f t="shared" si="3"/>
        <v>0</v>
      </c>
      <c r="R10" s="49">
        <f t="shared" si="3"/>
        <v>26749.4</v>
      </c>
      <c r="S10" s="49">
        <f t="shared" si="3"/>
        <v>796.2</v>
      </c>
      <c r="T10" s="49">
        <f t="shared" si="3"/>
        <v>25953.200000000001</v>
      </c>
      <c r="U10" s="49">
        <f t="shared" si="3"/>
        <v>0</v>
      </c>
      <c r="V10" s="70">
        <f t="shared" si="2"/>
        <v>0.16800000000000001</v>
      </c>
    </row>
    <row r="11" spans="1:24" ht="18.75">
      <c r="A11" s="43"/>
      <c r="B11" s="30" t="s">
        <v>17</v>
      </c>
      <c r="C11" s="31"/>
      <c r="D11" s="31"/>
      <c r="E11" s="31"/>
      <c r="F11" s="49"/>
      <c r="G11" s="54"/>
      <c r="H11" s="54"/>
      <c r="I11" s="54"/>
      <c r="J11" s="49"/>
      <c r="K11" s="54"/>
      <c r="L11" s="54"/>
      <c r="M11" s="54"/>
      <c r="N11" s="49"/>
      <c r="O11" s="54"/>
      <c r="P11" s="54"/>
      <c r="Q11" s="54"/>
      <c r="R11" s="49"/>
      <c r="S11" s="54"/>
      <c r="T11" s="54"/>
      <c r="U11" s="54"/>
      <c r="V11" s="73"/>
    </row>
    <row r="12" spans="1:24" ht="66">
      <c r="A12" s="43"/>
      <c r="B12" s="32" t="s">
        <v>361</v>
      </c>
      <c r="C12" s="31">
        <v>821</v>
      </c>
      <c r="D12" s="33" t="s">
        <v>21</v>
      </c>
      <c r="E12" s="31" t="s">
        <v>360</v>
      </c>
      <c r="F12" s="49">
        <f t="shared" ref="F12:F17" si="4">G12+H12+I12</f>
        <v>8026.5</v>
      </c>
      <c r="G12" s="54">
        <v>8026.5</v>
      </c>
      <c r="H12" s="54"/>
      <c r="I12" s="54"/>
      <c r="J12" s="49">
        <f t="shared" ref="J12:R17" si="5">K12+L12+M12</f>
        <v>0</v>
      </c>
      <c r="K12" s="54"/>
      <c r="L12" s="54"/>
      <c r="M12" s="54"/>
      <c r="N12" s="49">
        <f t="shared" si="5"/>
        <v>0</v>
      </c>
      <c r="O12" s="54"/>
      <c r="P12" s="54"/>
      <c r="Q12" s="54"/>
      <c r="R12" s="49">
        <f t="shared" si="5"/>
        <v>0</v>
      </c>
      <c r="S12" s="54"/>
      <c r="T12" s="54"/>
      <c r="U12" s="54"/>
      <c r="V12" s="73">
        <f t="shared" si="2"/>
        <v>0</v>
      </c>
    </row>
    <row r="13" spans="1:24" ht="82.5">
      <c r="A13" s="43"/>
      <c r="B13" s="34" t="s">
        <v>266</v>
      </c>
      <c r="C13" s="31">
        <v>839</v>
      </c>
      <c r="D13" s="33" t="s">
        <v>18</v>
      </c>
      <c r="E13" s="31" t="s">
        <v>267</v>
      </c>
      <c r="F13" s="49">
        <f t="shared" si="4"/>
        <v>13684.2</v>
      </c>
      <c r="G13" s="54">
        <f>165.7+228.99+15.84</f>
        <v>410.5</v>
      </c>
      <c r="H13" s="54">
        <f>5356.9+7404.7+512.1</f>
        <v>13273.7</v>
      </c>
      <c r="I13" s="54"/>
      <c r="J13" s="49">
        <f t="shared" si="5"/>
        <v>173.1</v>
      </c>
      <c r="K13" s="54">
        <f>5+0.2</f>
        <v>5.2</v>
      </c>
      <c r="L13" s="54">
        <f>161.5+6.42</f>
        <v>167.9</v>
      </c>
      <c r="M13" s="54"/>
      <c r="N13" s="49">
        <f t="shared" si="5"/>
        <v>5522.6</v>
      </c>
      <c r="O13" s="54">
        <v>165.7</v>
      </c>
      <c r="P13" s="54">
        <v>5356.9</v>
      </c>
      <c r="Q13" s="54"/>
      <c r="R13" s="49">
        <f t="shared" si="5"/>
        <v>5522.6</v>
      </c>
      <c r="S13" s="54">
        <v>165.7</v>
      </c>
      <c r="T13" s="54">
        <v>5356.9</v>
      </c>
      <c r="U13" s="54"/>
      <c r="V13" s="73">
        <f t="shared" si="2"/>
        <v>1.2999999999999999E-2</v>
      </c>
    </row>
    <row r="14" spans="1:24" ht="99">
      <c r="A14" s="35"/>
      <c r="B14" s="36" t="s">
        <v>268</v>
      </c>
      <c r="C14" s="37">
        <v>839</v>
      </c>
      <c r="D14" s="38" t="s">
        <v>18</v>
      </c>
      <c r="E14" s="31" t="s">
        <v>269</v>
      </c>
      <c r="F14" s="49">
        <f t="shared" si="4"/>
        <v>4435.3999999999996</v>
      </c>
      <c r="G14" s="54">
        <f>142.2+5.24-14.24</f>
        <v>133.19999999999999</v>
      </c>
      <c r="H14" s="54">
        <f>4595.9+166.6-460.31</f>
        <v>4302.2</v>
      </c>
      <c r="I14" s="54"/>
      <c r="J14" s="49">
        <f t="shared" si="5"/>
        <v>0</v>
      </c>
      <c r="K14" s="54"/>
      <c r="L14" s="54"/>
      <c r="M14" s="54"/>
      <c r="N14" s="49">
        <f t="shared" si="5"/>
        <v>4738.1000000000004</v>
      </c>
      <c r="O14" s="54">
        <v>142.19999999999999</v>
      </c>
      <c r="P14" s="54">
        <v>4595.8999999999996</v>
      </c>
      <c r="Q14" s="54"/>
      <c r="R14" s="49">
        <f t="shared" si="5"/>
        <v>4738.1000000000004</v>
      </c>
      <c r="S14" s="54">
        <v>142.19999999999999</v>
      </c>
      <c r="T14" s="54">
        <v>4595.8999999999996</v>
      </c>
      <c r="U14" s="54"/>
      <c r="V14" s="73">
        <f t="shared" si="2"/>
        <v>0</v>
      </c>
    </row>
    <row r="15" spans="1:24" ht="99">
      <c r="A15" s="35"/>
      <c r="B15" s="36" t="s">
        <v>270</v>
      </c>
      <c r="C15" s="37">
        <v>839</v>
      </c>
      <c r="D15" s="38" t="s">
        <v>18</v>
      </c>
      <c r="E15" s="31" t="s">
        <v>271</v>
      </c>
      <c r="F15" s="49">
        <f t="shared" si="4"/>
        <v>8417.6</v>
      </c>
      <c r="G15" s="54">
        <f>488.3-234.23-1.6</f>
        <v>252.5</v>
      </c>
      <c r="H15" s="54">
        <f>15788.2-7571.26-51.8</f>
        <v>8165.1</v>
      </c>
      <c r="I15" s="54"/>
      <c r="J15" s="49">
        <f t="shared" si="5"/>
        <v>0</v>
      </c>
      <c r="K15" s="54"/>
      <c r="L15" s="54"/>
      <c r="M15" s="54"/>
      <c r="N15" s="49">
        <f t="shared" si="5"/>
        <v>16276.5</v>
      </c>
      <c r="O15" s="54">
        <v>488.3</v>
      </c>
      <c r="P15" s="54">
        <v>15788.2</v>
      </c>
      <c r="Q15" s="54"/>
      <c r="R15" s="49">
        <f t="shared" si="5"/>
        <v>16276.5</v>
      </c>
      <c r="S15" s="54">
        <v>488.3</v>
      </c>
      <c r="T15" s="54">
        <v>15788.2</v>
      </c>
      <c r="U15" s="54"/>
      <c r="V15" s="73">
        <f t="shared" si="2"/>
        <v>0</v>
      </c>
    </row>
    <row r="16" spans="1:24" ht="82.5">
      <c r="A16" s="43"/>
      <c r="B16" s="34" t="s">
        <v>20</v>
      </c>
      <c r="C16" s="31">
        <v>811</v>
      </c>
      <c r="D16" s="33" t="s">
        <v>19</v>
      </c>
      <c r="E16" s="31" t="s">
        <v>226</v>
      </c>
      <c r="F16" s="49">
        <f t="shared" si="4"/>
        <v>212.2</v>
      </c>
      <c r="G16" s="54"/>
      <c r="H16" s="54">
        <v>212.2</v>
      </c>
      <c r="I16" s="54"/>
      <c r="J16" s="49">
        <f t="shared" si="5"/>
        <v>0</v>
      </c>
      <c r="K16" s="54"/>
      <c r="L16" s="54"/>
      <c r="M16" s="54"/>
      <c r="N16" s="49">
        <f t="shared" si="5"/>
        <v>212.2</v>
      </c>
      <c r="O16" s="54"/>
      <c r="P16" s="54">
        <v>212.2</v>
      </c>
      <c r="Q16" s="54"/>
      <c r="R16" s="49">
        <f t="shared" si="5"/>
        <v>212.2</v>
      </c>
      <c r="S16" s="54"/>
      <c r="T16" s="54">
        <v>212.2</v>
      </c>
      <c r="U16" s="54"/>
      <c r="V16" s="73">
        <f t="shared" si="2"/>
        <v>0</v>
      </c>
    </row>
    <row r="17" spans="1:22" ht="198">
      <c r="A17" s="43"/>
      <c r="B17" s="34" t="s">
        <v>383</v>
      </c>
      <c r="C17" s="31">
        <v>821</v>
      </c>
      <c r="D17" s="33" t="s">
        <v>21</v>
      </c>
      <c r="E17" s="31" t="s">
        <v>265</v>
      </c>
      <c r="F17" s="49">
        <f t="shared" si="4"/>
        <v>231903</v>
      </c>
      <c r="G17" s="54">
        <v>34457.4</v>
      </c>
      <c r="H17" s="54">
        <v>197445.6</v>
      </c>
      <c r="I17" s="54"/>
      <c r="J17" s="49">
        <f t="shared" si="5"/>
        <v>44549.3</v>
      </c>
      <c r="K17" s="54">
        <f>422.8+913.74</f>
        <v>1336.5</v>
      </c>
      <c r="L17" s="54">
        <f>13668.7+29544.14</f>
        <v>43212.800000000003</v>
      </c>
      <c r="M17" s="54"/>
      <c r="N17" s="49">
        <f t="shared" si="5"/>
        <v>90433.7</v>
      </c>
      <c r="O17" s="54">
        <v>38999.1</v>
      </c>
      <c r="P17" s="54">
        <v>51434.6</v>
      </c>
      <c r="Q17" s="54"/>
      <c r="R17" s="49">
        <f t="shared" si="5"/>
        <v>0</v>
      </c>
      <c r="S17" s="54"/>
      <c r="T17" s="54"/>
      <c r="U17" s="54"/>
      <c r="V17" s="73">
        <f t="shared" si="2"/>
        <v>0.192</v>
      </c>
    </row>
    <row r="18" spans="1:22" ht="33">
      <c r="A18" s="57" t="s">
        <v>23</v>
      </c>
      <c r="B18" s="15" t="s">
        <v>24</v>
      </c>
      <c r="C18" s="6" t="s">
        <v>14</v>
      </c>
      <c r="D18" s="6" t="s">
        <v>14</v>
      </c>
      <c r="E18" s="6" t="s">
        <v>14</v>
      </c>
      <c r="F18" s="51">
        <f>SUM(F20:F29)</f>
        <v>369918.3</v>
      </c>
      <c r="G18" s="49">
        <f>SUM(G20:G29)</f>
        <v>287080.40000000002</v>
      </c>
      <c r="H18" s="49">
        <f t="shared" ref="H18" si="6">SUM(H20:H29)</f>
        <v>38690.9</v>
      </c>
      <c r="I18" s="49">
        <f t="shared" ref="I18:U18" si="7">SUM(I20:I29)</f>
        <v>44147</v>
      </c>
      <c r="J18" s="51">
        <f t="shared" si="7"/>
        <v>34397.1</v>
      </c>
      <c r="K18" s="51">
        <f t="shared" si="7"/>
        <v>29345.599999999999</v>
      </c>
      <c r="L18" s="49">
        <f t="shared" si="7"/>
        <v>0</v>
      </c>
      <c r="M18" s="49">
        <f t="shared" si="7"/>
        <v>5051.5</v>
      </c>
      <c r="N18" s="51">
        <f t="shared" si="7"/>
        <v>340678.3</v>
      </c>
      <c r="O18" s="49">
        <f t="shared" si="7"/>
        <v>100664.4</v>
      </c>
      <c r="P18" s="49">
        <f t="shared" si="7"/>
        <v>230206.1</v>
      </c>
      <c r="Q18" s="49">
        <f t="shared" si="7"/>
        <v>9807.7999999999993</v>
      </c>
      <c r="R18" s="51">
        <f t="shared" si="7"/>
        <v>187512.4</v>
      </c>
      <c r="S18" s="49">
        <f t="shared" si="7"/>
        <v>96104.7</v>
      </c>
      <c r="T18" s="49">
        <f t="shared" si="7"/>
        <v>82929.5</v>
      </c>
      <c r="U18" s="49">
        <f t="shared" si="7"/>
        <v>8478.2000000000007</v>
      </c>
      <c r="V18" s="70">
        <f t="shared" si="2"/>
        <v>9.2999999999999999E-2</v>
      </c>
    </row>
    <row r="19" spans="1:22" ht="18.75">
      <c r="A19" s="60"/>
      <c r="B19" s="30" t="s">
        <v>17</v>
      </c>
      <c r="C19" s="31"/>
      <c r="D19" s="31"/>
      <c r="E19" s="31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70"/>
    </row>
    <row r="20" spans="1:22" ht="82.5">
      <c r="A20" s="60"/>
      <c r="B20" s="34" t="s">
        <v>25</v>
      </c>
      <c r="C20" s="31">
        <v>813</v>
      </c>
      <c r="D20" s="33" t="s">
        <v>26</v>
      </c>
      <c r="E20" s="31" t="s">
        <v>235</v>
      </c>
      <c r="F20" s="49">
        <f t="shared" ref="F20:F29" si="8">G20+H20+I20</f>
        <v>11034.8</v>
      </c>
      <c r="G20" s="54">
        <v>321.10000000000002</v>
      </c>
      <c r="H20" s="54">
        <v>10381.9</v>
      </c>
      <c r="I20" s="54">
        <v>331.8</v>
      </c>
      <c r="J20" s="49">
        <f t="shared" ref="J20:J29" si="9">K20+L20+M20</f>
        <v>0</v>
      </c>
      <c r="K20" s="54"/>
      <c r="L20" s="54"/>
      <c r="M20" s="54"/>
      <c r="N20" s="49">
        <f t="shared" ref="N20:N29" si="10">O20+P20+Q20</f>
        <v>6889.4</v>
      </c>
      <c r="O20" s="54">
        <v>206.7</v>
      </c>
      <c r="P20" s="54">
        <v>6682.7</v>
      </c>
      <c r="Q20" s="54">
        <v>0</v>
      </c>
      <c r="R20" s="49">
        <f t="shared" ref="R20:R29" si="11">S20+T20+U20</f>
        <v>6889.4</v>
      </c>
      <c r="S20" s="54">
        <v>206.7</v>
      </c>
      <c r="T20" s="54">
        <v>6682.7</v>
      </c>
      <c r="U20" s="54"/>
      <c r="V20" s="73">
        <f t="shared" si="2"/>
        <v>0</v>
      </c>
    </row>
    <row r="21" spans="1:22" ht="66">
      <c r="A21" s="60"/>
      <c r="B21" s="34" t="s">
        <v>165</v>
      </c>
      <c r="C21" s="31">
        <v>821</v>
      </c>
      <c r="D21" s="33" t="s">
        <v>21</v>
      </c>
      <c r="E21" s="31" t="s">
        <v>358</v>
      </c>
      <c r="F21" s="49">
        <f t="shared" si="8"/>
        <v>118571.5</v>
      </c>
      <c r="G21" s="54">
        <v>100000</v>
      </c>
      <c r="H21" s="54"/>
      <c r="I21" s="54">
        <v>18571.5</v>
      </c>
      <c r="J21" s="49">
        <f t="shared" si="9"/>
        <v>0</v>
      </c>
      <c r="K21" s="54"/>
      <c r="L21" s="54"/>
      <c r="M21" s="54"/>
      <c r="N21" s="49">
        <f t="shared" si="10"/>
        <v>0</v>
      </c>
      <c r="O21" s="54"/>
      <c r="P21" s="54"/>
      <c r="Q21" s="54"/>
      <c r="R21" s="49">
        <f t="shared" si="11"/>
        <v>0</v>
      </c>
      <c r="S21" s="54"/>
      <c r="T21" s="54"/>
      <c r="U21" s="54"/>
      <c r="V21" s="73">
        <f t="shared" si="2"/>
        <v>0</v>
      </c>
    </row>
    <row r="22" spans="1:22" ht="82.5">
      <c r="A22" s="60"/>
      <c r="B22" s="34" t="s">
        <v>321</v>
      </c>
      <c r="C22" s="31">
        <v>813</v>
      </c>
      <c r="D22" s="33" t="s">
        <v>26</v>
      </c>
      <c r="E22" s="31" t="s">
        <v>320</v>
      </c>
      <c r="F22" s="49">
        <f t="shared" si="8"/>
        <v>31579</v>
      </c>
      <c r="G22" s="54">
        <v>30000</v>
      </c>
      <c r="H22" s="54"/>
      <c r="I22" s="54">
        <v>1579</v>
      </c>
      <c r="J22" s="49">
        <f t="shared" si="9"/>
        <v>12715</v>
      </c>
      <c r="K22" s="54">
        <f>404.6+10593.6+1159.2</f>
        <v>12157.4</v>
      </c>
      <c r="L22" s="54"/>
      <c r="M22" s="54">
        <v>557.6</v>
      </c>
      <c r="N22" s="49">
        <f t="shared" si="10"/>
        <v>10506</v>
      </c>
      <c r="O22" s="54">
        <v>10000</v>
      </c>
      <c r="P22" s="54"/>
      <c r="Q22" s="54">
        <v>506</v>
      </c>
      <c r="R22" s="49">
        <f t="shared" si="11"/>
        <v>10498.9</v>
      </c>
      <c r="S22" s="54">
        <v>10000</v>
      </c>
      <c r="T22" s="54"/>
      <c r="U22" s="54">
        <v>498.9</v>
      </c>
      <c r="V22" s="73">
        <f t="shared" si="2"/>
        <v>0.40300000000000002</v>
      </c>
    </row>
    <row r="23" spans="1:22" ht="82.5">
      <c r="A23" s="60"/>
      <c r="B23" s="34" t="s">
        <v>327</v>
      </c>
      <c r="C23" s="31">
        <v>813</v>
      </c>
      <c r="D23" s="33" t="s">
        <v>26</v>
      </c>
      <c r="E23" s="31" t="s">
        <v>326</v>
      </c>
      <c r="F23" s="49">
        <f t="shared" si="8"/>
        <v>30211</v>
      </c>
      <c r="G23" s="54">
        <v>30000</v>
      </c>
      <c r="H23" s="54"/>
      <c r="I23" s="54">
        <v>211</v>
      </c>
      <c r="J23" s="49">
        <f t="shared" si="9"/>
        <v>0</v>
      </c>
      <c r="K23" s="54"/>
      <c r="L23" s="54"/>
      <c r="M23" s="54"/>
      <c r="N23" s="49">
        <f t="shared" si="10"/>
        <v>0</v>
      </c>
      <c r="O23" s="54"/>
      <c r="P23" s="54"/>
      <c r="Q23" s="54"/>
      <c r="R23" s="49">
        <f t="shared" si="11"/>
        <v>0</v>
      </c>
      <c r="S23" s="54"/>
      <c r="T23" s="54"/>
      <c r="U23" s="54"/>
      <c r="V23" s="73">
        <f t="shared" si="2"/>
        <v>0</v>
      </c>
    </row>
    <row r="24" spans="1:22" ht="165">
      <c r="A24" s="60"/>
      <c r="B24" s="34" t="s">
        <v>27</v>
      </c>
      <c r="C24" s="31">
        <v>813</v>
      </c>
      <c r="D24" s="33" t="s">
        <v>26</v>
      </c>
      <c r="E24" s="31" t="s">
        <v>325</v>
      </c>
      <c r="F24" s="49">
        <f t="shared" si="8"/>
        <v>9933.7000000000007</v>
      </c>
      <c r="G24" s="54">
        <v>9000</v>
      </c>
      <c r="H24" s="54"/>
      <c r="I24" s="54">
        <v>933.7</v>
      </c>
      <c r="J24" s="49">
        <f t="shared" si="9"/>
        <v>600</v>
      </c>
      <c r="K24" s="54">
        <v>600</v>
      </c>
      <c r="L24" s="54"/>
      <c r="M24" s="54">
        <v>0</v>
      </c>
      <c r="N24" s="49">
        <f t="shared" si="10"/>
        <v>9273.7000000000007</v>
      </c>
      <c r="O24" s="54">
        <v>9000</v>
      </c>
      <c r="P24" s="54"/>
      <c r="Q24" s="54">
        <v>273.7</v>
      </c>
      <c r="R24" s="49">
        <f t="shared" si="11"/>
        <v>9148.7000000000007</v>
      </c>
      <c r="S24" s="54">
        <v>9000</v>
      </c>
      <c r="T24" s="54"/>
      <c r="U24" s="54">
        <v>148.69999999999999</v>
      </c>
      <c r="V24" s="73">
        <f t="shared" si="2"/>
        <v>0.06</v>
      </c>
    </row>
    <row r="25" spans="1:22" ht="82.5">
      <c r="A25" s="60"/>
      <c r="B25" s="34" t="s">
        <v>28</v>
      </c>
      <c r="C25" s="31">
        <v>813</v>
      </c>
      <c r="D25" s="33" t="s">
        <v>26</v>
      </c>
      <c r="E25" s="31" t="s">
        <v>322</v>
      </c>
      <c r="F25" s="49">
        <f t="shared" si="8"/>
        <v>83223.899999999994</v>
      </c>
      <c r="G25" s="54">
        <v>71646.899999999994</v>
      </c>
      <c r="H25" s="54"/>
      <c r="I25" s="54">
        <v>11577</v>
      </c>
      <c r="J25" s="49">
        <f t="shared" si="9"/>
        <v>21082.1</v>
      </c>
      <c r="K25" s="54">
        <f>14605.3+1982.9</f>
        <v>16588.2</v>
      </c>
      <c r="L25" s="54"/>
      <c r="M25" s="54">
        <v>4493.8999999999996</v>
      </c>
      <c r="N25" s="49">
        <f t="shared" si="10"/>
        <v>80516.5</v>
      </c>
      <c r="O25" s="54">
        <v>71646.899999999994</v>
      </c>
      <c r="P25" s="54"/>
      <c r="Q25" s="54">
        <v>8869.6</v>
      </c>
      <c r="R25" s="49">
        <f t="shared" si="11"/>
        <v>79322.8</v>
      </c>
      <c r="S25" s="54">
        <v>71646.899999999994</v>
      </c>
      <c r="T25" s="54"/>
      <c r="U25" s="54">
        <v>7675.9</v>
      </c>
      <c r="V25" s="73">
        <f t="shared" si="2"/>
        <v>0.253</v>
      </c>
    </row>
    <row r="26" spans="1:22" ht="82.5">
      <c r="A26" s="60"/>
      <c r="B26" s="34" t="s">
        <v>324</v>
      </c>
      <c r="C26" s="31">
        <v>813</v>
      </c>
      <c r="D26" s="33" t="s">
        <v>26</v>
      </c>
      <c r="E26" s="31" t="s">
        <v>323</v>
      </c>
      <c r="F26" s="49">
        <f t="shared" si="8"/>
        <v>47967.7</v>
      </c>
      <c r="G26" s="54">
        <v>38000</v>
      </c>
      <c r="H26" s="54"/>
      <c r="I26" s="54">
        <v>9967.7000000000007</v>
      </c>
      <c r="J26" s="49">
        <f t="shared" si="9"/>
        <v>0</v>
      </c>
      <c r="K26" s="54"/>
      <c r="L26" s="54"/>
      <c r="M26" s="54"/>
      <c r="N26" s="49">
        <f t="shared" si="10"/>
        <v>0</v>
      </c>
      <c r="O26" s="54"/>
      <c r="P26" s="54"/>
      <c r="Q26" s="54"/>
      <c r="R26" s="49">
        <f t="shared" si="11"/>
        <v>0</v>
      </c>
      <c r="S26" s="54"/>
      <c r="T26" s="54"/>
      <c r="U26" s="54"/>
      <c r="V26" s="73">
        <f t="shared" si="2"/>
        <v>0</v>
      </c>
    </row>
    <row r="27" spans="1:22" ht="82.5" customHeight="1">
      <c r="A27" s="60"/>
      <c r="B27" s="34" t="s">
        <v>231</v>
      </c>
      <c r="C27" s="31">
        <v>813</v>
      </c>
      <c r="D27" s="33" t="s">
        <v>26</v>
      </c>
      <c r="E27" s="31" t="s">
        <v>232</v>
      </c>
      <c r="F27" s="49">
        <f t="shared" si="8"/>
        <v>6487.2</v>
      </c>
      <c r="G27" s="54">
        <v>3000</v>
      </c>
      <c r="H27" s="54">
        <v>3309</v>
      </c>
      <c r="I27" s="54">
        <v>178.2</v>
      </c>
      <c r="J27" s="49">
        <f t="shared" si="9"/>
        <v>0</v>
      </c>
      <c r="K27" s="54"/>
      <c r="L27" s="54"/>
      <c r="M27" s="54"/>
      <c r="N27" s="49">
        <f t="shared" si="10"/>
        <v>6467.5</v>
      </c>
      <c r="O27" s="54">
        <v>3000</v>
      </c>
      <c r="P27" s="54">
        <v>3309</v>
      </c>
      <c r="Q27" s="54">
        <v>158.5</v>
      </c>
      <c r="R27" s="49">
        <f t="shared" si="11"/>
        <v>6615.9</v>
      </c>
      <c r="S27" s="54">
        <v>3000</v>
      </c>
      <c r="T27" s="54">
        <v>3461.2</v>
      </c>
      <c r="U27" s="54">
        <v>154.69999999999999</v>
      </c>
      <c r="V27" s="73">
        <f t="shared" si="2"/>
        <v>0</v>
      </c>
    </row>
    <row r="28" spans="1:22" ht="82.5">
      <c r="A28" s="60"/>
      <c r="B28" s="34" t="s">
        <v>233</v>
      </c>
      <c r="C28" s="31">
        <v>821</v>
      </c>
      <c r="D28" s="33" t="s">
        <v>21</v>
      </c>
      <c r="E28" s="31" t="s">
        <v>234</v>
      </c>
      <c r="F28" s="49">
        <f t="shared" si="8"/>
        <v>4339.2</v>
      </c>
      <c r="G28" s="54">
        <v>4339.2</v>
      </c>
      <c r="H28" s="54"/>
      <c r="I28" s="54"/>
      <c r="J28" s="49">
        <f t="shared" si="9"/>
        <v>0</v>
      </c>
      <c r="K28" s="54"/>
      <c r="L28" s="54"/>
      <c r="M28" s="54"/>
      <c r="N28" s="49">
        <f t="shared" si="10"/>
        <v>182695.3</v>
      </c>
      <c r="O28" s="54">
        <v>5480.9</v>
      </c>
      <c r="P28" s="54">
        <v>177214.4</v>
      </c>
      <c r="Q28" s="54"/>
      <c r="R28" s="49">
        <f t="shared" si="11"/>
        <v>75036.7</v>
      </c>
      <c r="S28" s="54">
        <v>2251.1</v>
      </c>
      <c r="T28" s="54">
        <v>72785.600000000006</v>
      </c>
      <c r="U28" s="54"/>
      <c r="V28" s="73">
        <f t="shared" si="2"/>
        <v>0</v>
      </c>
    </row>
    <row r="29" spans="1:22" ht="82.5">
      <c r="A29" s="60"/>
      <c r="B29" s="34" t="s">
        <v>236</v>
      </c>
      <c r="C29" s="31">
        <v>813</v>
      </c>
      <c r="D29" s="33" t="s">
        <v>26</v>
      </c>
      <c r="E29" s="31" t="s">
        <v>237</v>
      </c>
      <c r="F29" s="49">
        <f t="shared" si="8"/>
        <v>26570.3</v>
      </c>
      <c r="G29" s="54">
        <v>773.2</v>
      </c>
      <c r="H29" s="54">
        <v>25000</v>
      </c>
      <c r="I29" s="54">
        <v>797.1</v>
      </c>
      <c r="J29" s="49">
        <f t="shared" si="9"/>
        <v>0</v>
      </c>
      <c r="K29" s="54"/>
      <c r="L29" s="54"/>
      <c r="M29" s="54"/>
      <c r="N29" s="49">
        <f t="shared" si="10"/>
        <v>44329.9</v>
      </c>
      <c r="O29" s="54">
        <v>1329.9</v>
      </c>
      <c r="P29" s="54">
        <v>43000</v>
      </c>
      <c r="Q29" s="54"/>
      <c r="R29" s="49">
        <f t="shared" si="11"/>
        <v>0</v>
      </c>
      <c r="S29" s="54"/>
      <c r="T29" s="54"/>
      <c r="U29" s="54"/>
      <c r="V29" s="73">
        <f t="shared" si="2"/>
        <v>0</v>
      </c>
    </row>
    <row r="30" spans="1:22" ht="66">
      <c r="A30" s="57" t="s">
        <v>29</v>
      </c>
      <c r="B30" s="15" t="s">
        <v>30</v>
      </c>
      <c r="C30" s="6" t="s">
        <v>14</v>
      </c>
      <c r="D30" s="6" t="s">
        <v>14</v>
      </c>
      <c r="E30" s="6" t="s">
        <v>14</v>
      </c>
      <c r="F30" s="51">
        <f t="shared" ref="F30:U30" si="12">SUM(F32:F37)</f>
        <v>857190.1</v>
      </c>
      <c r="G30" s="49">
        <f t="shared" si="12"/>
        <v>387823.3</v>
      </c>
      <c r="H30" s="49">
        <f t="shared" si="12"/>
        <v>469203.1</v>
      </c>
      <c r="I30" s="49">
        <f t="shared" si="12"/>
        <v>163.69999999999999</v>
      </c>
      <c r="J30" s="51">
        <f t="shared" si="12"/>
        <v>49632.3</v>
      </c>
      <c r="K30" s="51">
        <f t="shared" si="12"/>
        <v>49479.4</v>
      </c>
      <c r="L30" s="49">
        <f t="shared" si="12"/>
        <v>118</v>
      </c>
      <c r="M30" s="49">
        <f t="shared" si="12"/>
        <v>34.9</v>
      </c>
      <c r="N30" s="51">
        <f t="shared" si="12"/>
        <v>1247859.3999999999</v>
      </c>
      <c r="O30" s="49">
        <f t="shared" si="12"/>
        <v>357091.8</v>
      </c>
      <c r="P30" s="49">
        <f t="shared" si="12"/>
        <v>890767.6</v>
      </c>
      <c r="Q30" s="49">
        <f t="shared" si="12"/>
        <v>0</v>
      </c>
      <c r="R30" s="51">
        <f t="shared" si="12"/>
        <v>23861.3</v>
      </c>
      <c r="S30" s="49">
        <f t="shared" si="12"/>
        <v>715.8</v>
      </c>
      <c r="T30" s="49">
        <f t="shared" si="12"/>
        <v>23145.5</v>
      </c>
      <c r="U30" s="49">
        <f t="shared" si="12"/>
        <v>0</v>
      </c>
      <c r="V30" s="70">
        <f t="shared" si="2"/>
        <v>5.8000000000000003E-2</v>
      </c>
    </row>
    <row r="31" spans="1:22" ht="18.75">
      <c r="A31" s="43"/>
      <c r="B31" s="30" t="s">
        <v>17</v>
      </c>
      <c r="C31" s="31"/>
      <c r="D31" s="31"/>
      <c r="E31" s="31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70"/>
    </row>
    <row r="32" spans="1:22" ht="198">
      <c r="A32" s="43"/>
      <c r="B32" s="34" t="s">
        <v>253</v>
      </c>
      <c r="C32" s="31">
        <v>815</v>
      </c>
      <c r="D32" s="33" t="s">
        <v>66</v>
      </c>
      <c r="E32" s="31" t="s">
        <v>254</v>
      </c>
      <c r="F32" s="49">
        <f t="shared" ref="F32:R37" si="13">G32+H32+I32</f>
        <v>182952.6</v>
      </c>
      <c r="G32" s="54">
        <v>5591.4</v>
      </c>
      <c r="H32" s="54">
        <v>177361.2</v>
      </c>
      <c r="I32" s="54"/>
      <c r="J32" s="49">
        <f t="shared" si="13"/>
        <v>0</v>
      </c>
      <c r="K32" s="54"/>
      <c r="L32" s="54"/>
      <c r="M32" s="54"/>
      <c r="N32" s="49">
        <f t="shared" si="13"/>
        <v>0</v>
      </c>
      <c r="O32" s="54"/>
      <c r="P32" s="54"/>
      <c r="Q32" s="54"/>
      <c r="R32" s="49">
        <f t="shared" si="13"/>
        <v>0</v>
      </c>
      <c r="S32" s="54"/>
      <c r="T32" s="54"/>
      <c r="U32" s="54"/>
      <c r="V32" s="73">
        <f t="shared" si="2"/>
        <v>0</v>
      </c>
    </row>
    <row r="33" spans="1:22" ht="99">
      <c r="A33" s="43"/>
      <c r="B33" s="34" t="s">
        <v>31</v>
      </c>
      <c r="C33" s="31">
        <v>821</v>
      </c>
      <c r="D33" s="33" t="s">
        <v>21</v>
      </c>
      <c r="E33" s="31" t="s">
        <v>252</v>
      </c>
      <c r="F33" s="49">
        <f t="shared" si="13"/>
        <v>613766.80000000005</v>
      </c>
      <c r="G33" s="54">
        <v>339568.5</v>
      </c>
      <c r="H33" s="54">
        <v>274034.59999999998</v>
      </c>
      <c r="I33" s="54">
        <v>163.69999999999999</v>
      </c>
      <c r="J33" s="49">
        <f t="shared" si="13"/>
        <v>49510.7</v>
      </c>
      <c r="K33" s="54">
        <f>34830.5+14645.33</f>
        <v>49475.8</v>
      </c>
      <c r="L33" s="54"/>
      <c r="M33" s="54">
        <v>34.9</v>
      </c>
      <c r="N33" s="49">
        <f t="shared" si="13"/>
        <v>1229501.3</v>
      </c>
      <c r="O33" s="54">
        <v>356541</v>
      </c>
      <c r="P33" s="54">
        <v>872960.3</v>
      </c>
      <c r="Q33" s="54"/>
      <c r="R33" s="49">
        <f t="shared" si="13"/>
        <v>0</v>
      </c>
      <c r="S33" s="54"/>
      <c r="T33" s="54"/>
      <c r="U33" s="54"/>
      <c r="V33" s="73">
        <f t="shared" si="2"/>
        <v>8.1000000000000003E-2</v>
      </c>
    </row>
    <row r="34" spans="1:22" ht="115.5">
      <c r="A34" s="43"/>
      <c r="B34" s="34" t="s">
        <v>199</v>
      </c>
      <c r="C34" s="31">
        <v>839</v>
      </c>
      <c r="D34" s="33" t="s">
        <v>18</v>
      </c>
      <c r="E34" s="31" t="s">
        <v>198</v>
      </c>
      <c r="F34" s="49">
        <f t="shared" si="13"/>
        <v>12066.5</v>
      </c>
      <c r="G34" s="54">
        <v>362</v>
      </c>
      <c r="H34" s="54">
        <f>2801.4+8903.14</f>
        <v>11704.5</v>
      </c>
      <c r="I34" s="54"/>
      <c r="J34" s="49">
        <f t="shared" si="13"/>
        <v>121.6</v>
      </c>
      <c r="K34" s="54">
        <f>3.5+0.14</f>
        <v>3.6</v>
      </c>
      <c r="L34" s="54">
        <f>113.6+4.41</f>
        <v>118</v>
      </c>
      <c r="M34" s="54"/>
      <c r="N34" s="49">
        <f t="shared" si="13"/>
        <v>2888</v>
      </c>
      <c r="O34" s="54">
        <v>86.6</v>
      </c>
      <c r="P34" s="54">
        <v>2801.4</v>
      </c>
      <c r="Q34" s="54"/>
      <c r="R34" s="49">
        <f t="shared" si="13"/>
        <v>7511.5</v>
      </c>
      <c r="S34" s="54">
        <v>225.4</v>
      </c>
      <c r="T34" s="54">
        <v>7286.1</v>
      </c>
      <c r="U34" s="54"/>
      <c r="V34" s="73">
        <f t="shared" si="2"/>
        <v>0.01</v>
      </c>
    </row>
    <row r="35" spans="1:22" ht="66">
      <c r="A35" s="43"/>
      <c r="B35" s="34" t="s">
        <v>362</v>
      </c>
      <c r="C35" s="31">
        <v>821</v>
      </c>
      <c r="D35" s="33" t="s">
        <v>21</v>
      </c>
      <c r="E35" s="31" t="s">
        <v>363</v>
      </c>
      <c r="F35" s="49">
        <f t="shared" si="13"/>
        <v>42112.6</v>
      </c>
      <c r="G35" s="54">
        <v>42112.6</v>
      </c>
      <c r="H35" s="54"/>
      <c r="I35" s="54"/>
      <c r="J35" s="49">
        <f t="shared" si="13"/>
        <v>0</v>
      </c>
      <c r="K35" s="54"/>
      <c r="L35" s="54"/>
      <c r="M35" s="54"/>
      <c r="N35" s="49">
        <f t="shared" si="13"/>
        <v>0</v>
      </c>
      <c r="O35" s="54"/>
      <c r="P35" s="54"/>
      <c r="Q35" s="54"/>
      <c r="R35" s="49">
        <f t="shared" si="13"/>
        <v>0</v>
      </c>
      <c r="S35" s="54"/>
      <c r="T35" s="54"/>
      <c r="U35" s="54"/>
      <c r="V35" s="73">
        <f t="shared" si="2"/>
        <v>0</v>
      </c>
    </row>
    <row r="36" spans="1:22" ht="99">
      <c r="A36" s="43"/>
      <c r="B36" s="34" t="s">
        <v>201</v>
      </c>
      <c r="C36" s="31">
        <v>839</v>
      </c>
      <c r="D36" s="33" t="s">
        <v>18</v>
      </c>
      <c r="E36" s="31" t="s">
        <v>200</v>
      </c>
      <c r="F36" s="49">
        <f t="shared" si="13"/>
        <v>2124.6</v>
      </c>
      <c r="G36" s="54">
        <f>83.4-19.61</f>
        <v>63.8</v>
      </c>
      <c r="H36" s="54">
        <f>2694.7-633.93</f>
        <v>2060.8000000000002</v>
      </c>
      <c r="I36" s="54"/>
      <c r="J36" s="49">
        <f t="shared" si="13"/>
        <v>0</v>
      </c>
      <c r="K36" s="54"/>
      <c r="L36" s="54"/>
      <c r="M36" s="54"/>
      <c r="N36" s="49">
        <f t="shared" si="13"/>
        <v>2778.1</v>
      </c>
      <c r="O36" s="54">
        <v>83.4</v>
      </c>
      <c r="P36" s="54">
        <v>2694.7</v>
      </c>
      <c r="Q36" s="54"/>
      <c r="R36" s="49">
        <f t="shared" si="13"/>
        <v>3652.2</v>
      </c>
      <c r="S36" s="54">
        <v>109.5</v>
      </c>
      <c r="T36" s="54">
        <v>3542.7</v>
      </c>
      <c r="U36" s="54"/>
      <c r="V36" s="73">
        <f t="shared" si="2"/>
        <v>0</v>
      </c>
    </row>
    <row r="37" spans="1:22" ht="165">
      <c r="A37" s="43"/>
      <c r="B37" s="34" t="s">
        <v>203</v>
      </c>
      <c r="C37" s="31">
        <v>839</v>
      </c>
      <c r="D37" s="33" t="s">
        <v>18</v>
      </c>
      <c r="E37" s="31" t="s">
        <v>202</v>
      </c>
      <c r="F37" s="49">
        <f t="shared" si="13"/>
        <v>4167</v>
      </c>
      <c r="G37" s="54">
        <f>380.8-255.79</f>
        <v>125</v>
      </c>
      <c r="H37" s="54">
        <f>12311.2-8269.21</f>
        <v>4042</v>
      </c>
      <c r="I37" s="54"/>
      <c r="J37" s="49">
        <f t="shared" si="13"/>
        <v>0</v>
      </c>
      <c r="K37" s="54"/>
      <c r="L37" s="54"/>
      <c r="M37" s="54"/>
      <c r="N37" s="49">
        <f t="shared" si="13"/>
        <v>12692</v>
      </c>
      <c r="O37" s="54">
        <v>380.8</v>
      </c>
      <c r="P37" s="54">
        <v>12311.2</v>
      </c>
      <c r="Q37" s="54"/>
      <c r="R37" s="49">
        <f t="shared" si="13"/>
        <v>12697.6</v>
      </c>
      <c r="S37" s="54">
        <v>380.9</v>
      </c>
      <c r="T37" s="54">
        <v>12316.7</v>
      </c>
      <c r="U37" s="54"/>
      <c r="V37" s="73">
        <f t="shared" si="2"/>
        <v>0</v>
      </c>
    </row>
    <row r="38" spans="1:22" ht="49.5">
      <c r="A38" s="57" t="s">
        <v>32</v>
      </c>
      <c r="B38" s="15" t="s">
        <v>33</v>
      </c>
      <c r="C38" s="6" t="s">
        <v>14</v>
      </c>
      <c r="D38" s="6" t="s">
        <v>14</v>
      </c>
      <c r="E38" s="6" t="s">
        <v>14</v>
      </c>
      <c r="F38" s="51">
        <f t="shared" ref="F38:U38" si="14">SUM(F40:F42)</f>
        <v>1818308.7</v>
      </c>
      <c r="G38" s="49">
        <f t="shared" si="14"/>
        <v>776166.8</v>
      </c>
      <c r="H38" s="49">
        <f t="shared" ref="H38" si="15">SUM(H40:H42)</f>
        <v>1042141.9</v>
      </c>
      <c r="I38" s="49">
        <f t="shared" si="14"/>
        <v>0</v>
      </c>
      <c r="J38" s="51">
        <f t="shared" si="14"/>
        <v>348603.1</v>
      </c>
      <c r="K38" s="51">
        <f t="shared" si="14"/>
        <v>181858.3</v>
      </c>
      <c r="L38" s="49">
        <f t="shared" si="14"/>
        <v>166744.79999999999</v>
      </c>
      <c r="M38" s="49">
        <f t="shared" si="14"/>
        <v>0</v>
      </c>
      <c r="N38" s="51">
        <f t="shared" si="14"/>
        <v>2093316.4</v>
      </c>
      <c r="O38" s="49">
        <f t="shared" si="14"/>
        <v>776166.8</v>
      </c>
      <c r="P38" s="49">
        <f t="shared" si="14"/>
        <v>1317149.6000000001</v>
      </c>
      <c r="Q38" s="49">
        <f t="shared" si="14"/>
        <v>0</v>
      </c>
      <c r="R38" s="51">
        <f t="shared" si="14"/>
        <v>2380203.6</v>
      </c>
      <c r="S38" s="49">
        <f t="shared" si="14"/>
        <v>776166.8</v>
      </c>
      <c r="T38" s="49">
        <f t="shared" si="14"/>
        <v>1604036.8</v>
      </c>
      <c r="U38" s="49">
        <f t="shared" si="14"/>
        <v>0</v>
      </c>
      <c r="V38" s="70">
        <f t="shared" si="2"/>
        <v>0.192</v>
      </c>
    </row>
    <row r="39" spans="1:22" ht="18.75">
      <c r="A39" s="43"/>
      <c r="B39" s="30" t="s">
        <v>17</v>
      </c>
      <c r="C39" s="31"/>
      <c r="D39" s="33"/>
      <c r="E39" s="31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70"/>
    </row>
    <row r="40" spans="1:22" ht="66">
      <c r="A40" s="43"/>
      <c r="B40" s="34" t="s">
        <v>34</v>
      </c>
      <c r="C40" s="31">
        <v>809</v>
      </c>
      <c r="D40" s="33" t="s">
        <v>22</v>
      </c>
      <c r="E40" s="31" t="s">
        <v>264</v>
      </c>
      <c r="F40" s="49">
        <f t="shared" ref="F40:R42" si="16">G40+H40+I40</f>
        <v>909750.3</v>
      </c>
      <c r="G40" s="54"/>
      <c r="H40" s="54">
        <v>909750.3</v>
      </c>
      <c r="I40" s="54"/>
      <c r="J40" s="49">
        <f t="shared" si="16"/>
        <v>165835.6</v>
      </c>
      <c r="K40" s="54"/>
      <c r="L40" s="54">
        <f>158990.4+6845.23</f>
        <v>165835.6</v>
      </c>
      <c r="M40" s="54"/>
      <c r="N40" s="49">
        <f t="shared" si="16"/>
        <v>926806.3</v>
      </c>
      <c r="O40" s="54"/>
      <c r="P40" s="54">
        <v>926806.3</v>
      </c>
      <c r="Q40" s="54"/>
      <c r="R40" s="49">
        <f t="shared" si="16"/>
        <v>926806.3</v>
      </c>
      <c r="S40" s="54"/>
      <c r="T40" s="54">
        <v>926806.3</v>
      </c>
      <c r="U40" s="54"/>
      <c r="V40" s="73">
        <f t="shared" si="2"/>
        <v>0.182</v>
      </c>
    </row>
    <row r="41" spans="1:22" ht="82.5">
      <c r="A41" s="43"/>
      <c r="B41" s="34" t="s">
        <v>35</v>
      </c>
      <c r="C41" s="31">
        <v>809</v>
      </c>
      <c r="D41" s="33" t="s">
        <v>22</v>
      </c>
      <c r="E41" s="31" t="s">
        <v>311</v>
      </c>
      <c r="F41" s="49">
        <f t="shared" si="16"/>
        <v>749050.4</v>
      </c>
      <c r="G41" s="54">
        <f>749050.4</f>
        <v>749050.4</v>
      </c>
      <c r="H41" s="54"/>
      <c r="I41" s="54"/>
      <c r="J41" s="49">
        <f t="shared" si="16"/>
        <v>181672.1</v>
      </c>
      <c r="K41" s="54">
        <v>181672.1</v>
      </c>
      <c r="L41" s="54"/>
      <c r="M41" s="54"/>
      <c r="N41" s="49">
        <f t="shared" si="16"/>
        <v>696217</v>
      </c>
      <c r="O41" s="54">
        <v>696217</v>
      </c>
      <c r="P41" s="54"/>
      <c r="Q41" s="54"/>
      <c r="R41" s="49">
        <f t="shared" si="16"/>
        <v>674971.4</v>
      </c>
      <c r="S41" s="54">
        <v>674971.4</v>
      </c>
      <c r="T41" s="54"/>
      <c r="U41" s="54"/>
      <c r="V41" s="73">
        <f t="shared" si="2"/>
        <v>0.24299999999999999</v>
      </c>
    </row>
    <row r="42" spans="1:22" ht="82.5">
      <c r="A42" s="43"/>
      <c r="B42" s="34" t="s">
        <v>35</v>
      </c>
      <c r="C42" s="31">
        <v>809</v>
      </c>
      <c r="D42" s="33" t="s">
        <v>22</v>
      </c>
      <c r="E42" s="31" t="s">
        <v>263</v>
      </c>
      <c r="F42" s="49">
        <f t="shared" si="16"/>
        <v>159508</v>
      </c>
      <c r="G42" s="54">
        <v>27116.400000000001</v>
      </c>
      <c r="H42" s="54">
        <v>132391.6</v>
      </c>
      <c r="I42" s="54"/>
      <c r="J42" s="49">
        <f t="shared" si="16"/>
        <v>1095.4000000000001</v>
      </c>
      <c r="K42" s="54">
        <v>186.2</v>
      </c>
      <c r="L42" s="54">
        <f>39.7+56.23+639+174.28</f>
        <v>909.2</v>
      </c>
      <c r="M42" s="54"/>
      <c r="N42" s="49">
        <f t="shared" si="16"/>
        <v>470293.1</v>
      </c>
      <c r="O42" s="54">
        <v>79949.8</v>
      </c>
      <c r="P42" s="54">
        <v>390343.3</v>
      </c>
      <c r="Q42" s="54"/>
      <c r="R42" s="49">
        <f t="shared" si="16"/>
        <v>778425.9</v>
      </c>
      <c r="S42" s="54">
        <v>101195.4</v>
      </c>
      <c r="T42" s="54">
        <v>677230.5</v>
      </c>
      <c r="U42" s="54"/>
      <c r="V42" s="73">
        <f t="shared" si="2"/>
        <v>7.0000000000000001E-3</v>
      </c>
    </row>
    <row r="43" spans="1:22" ht="33">
      <c r="A43" s="57" t="s">
        <v>36</v>
      </c>
      <c r="B43" s="15" t="s">
        <v>37</v>
      </c>
      <c r="C43" s="6" t="s">
        <v>14</v>
      </c>
      <c r="D43" s="6" t="s">
        <v>14</v>
      </c>
      <c r="E43" s="6" t="s">
        <v>14</v>
      </c>
      <c r="F43" s="51">
        <f t="shared" ref="F43:U43" si="17">F45</f>
        <v>3700</v>
      </c>
      <c r="G43" s="49">
        <f t="shared" si="17"/>
        <v>3700</v>
      </c>
      <c r="H43" s="49">
        <f t="shared" ref="H43" si="18">H45</f>
        <v>0</v>
      </c>
      <c r="I43" s="49">
        <f t="shared" si="17"/>
        <v>0</v>
      </c>
      <c r="J43" s="51">
        <f t="shared" si="17"/>
        <v>900</v>
      </c>
      <c r="K43" s="51">
        <f t="shared" si="17"/>
        <v>900</v>
      </c>
      <c r="L43" s="49">
        <f t="shared" si="17"/>
        <v>0</v>
      </c>
      <c r="M43" s="49">
        <f t="shared" si="17"/>
        <v>0</v>
      </c>
      <c r="N43" s="51">
        <f t="shared" si="17"/>
        <v>3700</v>
      </c>
      <c r="O43" s="49">
        <f t="shared" si="17"/>
        <v>3700</v>
      </c>
      <c r="P43" s="49">
        <f t="shared" si="17"/>
        <v>0</v>
      </c>
      <c r="Q43" s="49">
        <f t="shared" si="17"/>
        <v>0</v>
      </c>
      <c r="R43" s="51">
        <f t="shared" si="17"/>
        <v>3700</v>
      </c>
      <c r="S43" s="49">
        <f t="shared" si="17"/>
        <v>3700</v>
      </c>
      <c r="T43" s="49">
        <f t="shared" si="17"/>
        <v>0</v>
      </c>
      <c r="U43" s="49">
        <f t="shared" si="17"/>
        <v>0</v>
      </c>
      <c r="V43" s="70">
        <f t="shared" si="2"/>
        <v>0.24299999999999999</v>
      </c>
    </row>
    <row r="44" spans="1:22" ht="18.75">
      <c r="A44" s="57"/>
      <c r="B44" s="17" t="s">
        <v>17</v>
      </c>
      <c r="C44" s="7"/>
      <c r="D44" s="8"/>
      <c r="E44" s="7"/>
      <c r="F44" s="55"/>
      <c r="G44" s="54"/>
      <c r="H44" s="54"/>
      <c r="I44" s="54"/>
      <c r="J44" s="55"/>
      <c r="K44" s="55"/>
      <c r="L44" s="54"/>
      <c r="M44" s="54"/>
      <c r="N44" s="55"/>
      <c r="O44" s="54"/>
      <c r="P44" s="54"/>
      <c r="Q44" s="54"/>
      <c r="R44" s="55"/>
      <c r="S44" s="54"/>
      <c r="T44" s="54"/>
      <c r="U44" s="54"/>
      <c r="V44" s="73"/>
    </row>
    <row r="45" spans="1:22" ht="99">
      <c r="A45" s="57"/>
      <c r="B45" s="17" t="s">
        <v>38</v>
      </c>
      <c r="C45" s="7">
        <v>811</v>
      </c>
      <c r="D45" s="8" t="s">
        <v>19</v>
      </c>
      <c r="E45" s="7" t="s">
        <v>318</v>
      </c>
      <c r="F45" s="51">
        <f>G45+H45+I45</f>
        <v>3700</v>
      </c>
      <c r="G45" s="50">
        <v>3700</v>
      </c>
      <c r="H45" s="50"/>
      <c r="I45" s="50"/>
      <c r="J45" s="51">
        <f>K45+L45+M45</f>
        <v>900</v>
      </c>
      <c r="K45" s="52">
        <f>300+300+300</f>
        <v>900</v>
      </c>
      <c r="L45" s="50"/>
      <c r="M45" s="50"/>
      <c r="N45" s="51">
        <f>O45+P45+Q45</f>
        <v>3700</v>
      </c>
      <c r="O45" s="50">
        <v>3700</v>
      </c>
      <c r="P45" s="50"/>
      <c r="Q45" s="50"/>
      <c r="R45" s="51">
        <f>S45+T45+U45</f>
        <v>3700</v>
      </c>
      <c r="S45" s="54">
        <v>3700</v>
      </c>
      <c r="T45" s="54"/>
      <c r="U45" s="50"/>
      <c r="V45" s="73">
        <f t="shared" si="2"/>
        <v>0.24299999999999999</v>
      </c>
    </row>
    <row r="46" spans="1:22" ht="18.75">
      <c r="A46" s="61" t="s">
        <v>39</v>
      </c>
      <c r="B46" s="1" t="s">
        <v>40</v>
      </c>
      <c r="C46" s="1" t="s">
        <v>14</v>
      </c>
      <c r="D46" s="1" t="s">
        <v>14</v>
      </c>
      <c r="E46" s="1" t="s">
        <v>14</v>
      </c>
      <c r="F46" s="48">
        <f t="shared" ref="F46" si="19">F47+F55+F60+F64+F68</f>
        <v>2545135.1</v>
      </c>
      <c r="G46" s="48">
        <f t="shared" ref="G46" si="20">G47+G55+G60+G64+G68</f>
        <v>388530.4</v>
      </c>
      <c r="H46" s="48">
        <f>H47+H55+H60+H64+H68</f>
        <v>2156604.7000000002</v>
      </c>
      <c r="I46" s="48">
        <f t="shared" ref="I46" si="21">I47+I55+I60+I64+I68</f>
        <v>0</v>
      </c>
      <c r="J46" s="48">
        <f t="shared" ref="J46" si="22">J47+J55+J60+J64+J68</f>
        <v>94007.7</v>
      </c>
      <c r="K46" s="48">
        <f t="shared" ref="K46" si="23">K47+K55+K60+K64+K68</f>
        <v>35127.5</v>
      </c>
      <c r="L46" s="48">
        <f t="shared" ref="L46" si="24">L47+L55+L60+L64+L68</f>
        <v>58880.2</v>
      </c>
      <c r="M46" s="48">
        <f t="shared" ref="M46" si="25">M47+M55+M60+M64+M68</f>
        <v>0</v>
      </c>
      <c r="N46" s="48">
        <f t="shared" ref="N46" si="26">N47+N55+N60+N64+N68</f>
        <v>3157562</v>
      </c>
      <c r="O46" s="48">
        <f t="shared" ref="O46" si="27">O47+O55+O60+O64+O68</f>
        <v>669251.1</v>
      </c>
      <c r="P46" s="48">
        <f t="shared" ref="P46" si="28">P47+P55+P60+P64+P68</f>
        <v>2488310.9</v>
      </c>
      <c r="Q46" s="48">
        <f t="shared" ref="Q46" si="29">Q47+Q55+Q60+Q64+Q68</f>
        <v>0</v>
      </c>
      <c r="R46" s="48">
        <f t="shared" ref="R46" si="30">R47+R55+R60+R64+R68</f>
        <v>646574.19999999995</v>
      </c>
      <c r="S46" s="48">
        <f t="shared" ref="S46" si="31">S47+S55+S60+S64+S68</f>
        <v>155217.70000000001</v>
      </c>
      <c r="T46" s="48">
        <f t="shared" ref="T46" si="32">T47+T55+T60+T64+T68</f>
        <v>491356.5</v>
      </c>
      <c r="U46" s="48">
        <f t="shared" ref="U46" si="33">U47+U55+U60+U64+U68</f>
        <v>0</v>
      </c>
      <c r="V46" s="69">
        <f t="shared" si="2"/>
        <v>3.6999999999999998E-2</v>
      </c>
    </row>
    <row r="47" spans="1:22" ht="49.5">
      <c r="A47" s="43" t="s">
        <v>41</v>
      </c>
      <c r="B47" s="28" t="s">
        <v>42</v>
      </c>
      <c r="C47" s="29" t="s">
        <v>14</v>
      </c>
      <c r="D47" s="29" t="s">
        <v>14</v>
      </c>
      <c r="E47" s="29" t="s">
        <v>14</v>
      </c>
      <c r="F47" s="49">
        <f t="shared" ref="F47:U47" si="34">SUM(F49:F54)</f>
        <v>278856.8</v>
      </c>
      <c r="G47" s="49">
        <f t="shared" si="34"/>
        <v>112003.4</v>
      </c>
      <c r="H47" s="49">
        <f t="shared" ref="H47" si="35">SUM(H49:H54)</f>
        <v>166853.4</v>
      </c>
      <c r="I47" s="49">
        <f t="shared" si="34"/>
        <v>0</v>
      </c>
      <c r="J47" s="49">
        <f t="shared" si="34"/>
        <v>57365.4</v>
      </c>
      <c r="K47" s="49">
        <f t="shared" si="34"/>
        <v>25447.8</v>
      </c>
      <c r="L47" s="49">
        <f t="shared" si="34"/>
        <v>31917.599999999999</v>
      </c>
      <c r="M47" s="49">
        <f t="shared" si="34"/>
        <v>0</v>
      </c>
      <c r="N47" s="49">
        <f t="shared" si="34"/>
        <v>316877.40000000002</v>
      </c>
      <c r="O47" s="49">
        <f t="shared" si="34"/>
        <v>134752.5</v>
      </c>
      <c r="P47" s="49">
        <f t="shared" si="34"/>
        <v>182124.9</v>
      </c>
      <c r="Q47" s="49">
        <f t="shared" si="34"/>
        <v>0</v>
      </c>
      <c r="R47" s="49">
        <f t="shared" si="34"/>
        <v>234590.3</v>
      </c>
      <c r="S47" s="49">
        <f t="shared" si="34"/>
        <v>119797.5</v>
      </c>
      <c r="T47" s="49">
        <f t="shared" si="34"/>
        <v>114792.8</v>
      </c>
      <c r="U47" s="49">
        <f t="shared" si="34"/>
        <v>0</v>
      </c>
      <c r="V47" s="70">
        <f t="shared" si="2"/>
        <v>0.20599999999999999</v>
      </c>
    </row>
    <row r="48" spans="1:22" ht="18.75">
      <c r="A48" s="60"/>
      <c r="B48" s="30" t="s">
        <v>17</v>
      </c>
      <c r="C48" s="31"/>
      <c r="D48" s="31"/>
      <c r="E48" s="31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70"/>
    </row>
    <row r="49" spans="1:22" ht="82.5">
      <c r="A49" s="60"/>
      <c r="B49" s="34" t="s">
        <v>43</v>
      </c>
      <c r="C49" s="31">
        <v>811</v>
      </c>
      <c r="D49" s="33" t="s">
        <v>19</v>
      </c>
      <c r="E49" s="31" t="s">
        <v>216</v>
      </c>
      <c r="F49" s="49">
        <f t="shared" ref="F49:R54" si="36">G49+H49+I49</f>
        <v>48897</v>
      </c>
      <c r="G49" s="54"/>
      <c r="H49" s="54">
        <v>48897</v>
      </c>
      <c r="I49" s="54"/>
      <c r="J49" s="49">
        <f t="shared" si="36"/>
        <v>0</v>
      </c>
      <c r="K49" s="54"/>
      <c r="L49" s="54"/>
      <c r="M49" s="54"/>
      <c r="N49" s="49">
        <f t="shared" si="36"/>
        <v>0</v>
      </c>
      <c r="O49" s="54"/>
      <c r="P49" s="54"/>
      <c r="Q49" s="54"/>
      <c r="R49" s="49">
        <f t="shared" si="36"/>
        <v>0</v>
      </c>
      <c r="S49" s="54"/>
      <c r="T49" s="54"/>
      <c r="U49" s="54"/>
      <c r="V49" s="73">
        <f t="shared" si="2"/>
        <v>0</v>
      </c>
    </row>
    <row r="50" spans="1:22" ht="49.5">
      <c r="A50" s="60"/>
      <c r="B50" s="34" t="s">
        <v>46</v>
      </c>
      <c r="C50" s="31">
        <v>811</v>
      </c>
      <c r="D50" s="33" t="s">
        <v>19</v>
      </c>
      <c r="E50" s="31" t="s">
        <v>314</v>
      </c>
      <c r="F50" s="49">
        <f t="shared" si="36"/>
        <v>52059.8</v>
      </c>
      <c r="G50" s="54">
        <v>52059.8</v>
      </c>
      <c r="H50" s="54"/>
      <c r="I50" s="54"/>
      <c r="J50" s="49">
        <f t="shared" si="36"/>
        <v>9465.4</v>
      </c>
      <c r="K50" s="54">
        <f>4732.7+4732.71</f>
        <v>9465.4</v>
      </c>
      <c r="L50" s="54"/>
      <c r="M50" s="54"/>
      <c r="N50" s="49">
        <f t="shared" si="36"/>
        <v>40390.300000000003</v>
      </c>
      <c r="O50" s="54">
        <v>40390.300000000003</v>
      </c>
      <c r="P50" s="54"/>
      <c r="Q50" s="54"/>
      <c r="R50" s="49">
        <f t="shared" si="36"/>
        <v>28690.3</v>
      </c>
      <c r="S50" s="54">
        <v>28690.3</v>
      </c>
      <c r="T50" s="54"/>
      <c r="U50" s="54"/>
      <c r="V50" s="73">
        <f t="shared" si="2"/>
        <v>0.182</v>
      </c>
    </row>
    <row r="51" spans="1:22" ht="66">
      <c r="A51" s="60"/>
      <c r="B51" s="34" t="s">
        <v>44</v>
      </c>
      <c r="C51" s="31">
        <v>811</v>
      </c>
      <c r="D51" s="33" t="s">
        <v>19</v>
      </c>
      <c r="E51" s="31" t="s">
        <v>217</v>
      </c>
      <c r="F51" s="49">
        <f t="shared" si="36"/>
        <v>170000</v>
      </c>
      <c r="G51" s="54">
        <v>52043.6</v>
      </c>
      <c r="H51" s="54">
        <v>117956.4</v>
      </c>
      <c r="I51" s="54"/>
      <c r="J51" s="49">
        <f t="shared" si="36"/>
        <v>46000</v>
      </c>
      <c r="K51" s="54">
        <f>7041.2+7041.19</f>
        <v>14082.4</v>
      </c>
      <c r="L51" s="54">
        <v>31917.599999999999</v>
      </c>
      <c r="M51" s="54"/>
      <c r="N51" s="49">
        <f t="shared" si="36"/>
        <v>198000</v>
      </c>
      <c r="O51" s="54">
        <v>86462.2</v>
      </c>
      <c r="P51" s="54">
        <v>111537.8</v>
      </c>
      <c r="Q51" s="54"/>
      <c r="R51" s="49">
        <f t="shared" si="36"/>
        <v>198000</v>
      </c>
      <c r="S51" s="54">
        <v>83207.199999999997</v>
      </c>
      <c r="T51" s="54">
        <v>114792.8</v>
      </c>
      <c r="U51" s="54"/>
      <c r="V51" s="73">
        <f t="shared" si="2"/>
        <v>0.27100000000000002</v>
      </c>
    </row>
    <row r="52" spans="1:22" ht="49.5">
      <c r="A52" s="60"/>
      <c r="B52" s="34" t="s">
        <v>45</v>
      </c>
      <c r="C52" s="31">
        <v>811</v>
      </c>
      <c r="D52" s="33" t="s">
        <v>19</v>
      </c>
      <c r="E52" s="31" t="s">
        <v>315</v>
      </c>
      <c r="F52" s="49">
        <f t="shared" si="36"/>
        <v>6000</v>
      </c>
      <c r="G52" s="54">
        <v>6000</v>
      </c>
      <c r="H52" s="54"/>
      <c r="I52" s="54"/>
      <c r="J52" s="49">
        <f t="shared" si="36"/>
        <v>1500</v>
      </c>
      <c r="K52" s="54">
        <f>500+500+500</f>
        <v>1500</v>
      </c>
      <c r="L52" s="54"/>
      <c r="M52" s="54"/>
      <c r="N52" s="49">
        <f t="shared" si="36"/>
        <v>6000</v>
      </c>
      <c r="O52" s="54">
        <v>6000</v>
      </c>
      <c r="P52" s="54"/>
      <c r="Q52" s="54"/>
      <c r="R52" s="49">
        <f t="shared" si="36"/>
        <v>6000</v>
      </c>
      <c r="S52" s="54">
        <v>6000</v>
      </c>
      <c r="T52" s="54"/>
      <c r="U52" s="54"/>
      <c r="V52" s="73">
        <f t="shared" si="2"/>
        <v>0.25</v>
      </c>
    </row>
    <row r="53" spans="1:22" ht="82.5">
      <c r="A53" s="60"/>
      <c r="B53" s="34" t="s">
        <v>47</v>
      </c>
      <c r="C53" s="31">
        <v>811</v>
      </c>
      <c r="D53" s="33" t="s">
        <v>19</v>
      </c>
      <c r="E53" s="31" t="s">
        <v>319</v>
      </c>
      <c r="F53" s="49">
        <f t="shared" si="36"/>
        <v>1900</v>
      </c>
      <c r="G53" s="54">
        <v>1900</v>
      </c>
      <c r="H53" s="54"/>
      <c r="I53" s="54"/>
      <c r="J53" s="49">
        <f t="shared" si="36"/>
        <v>400</v>
      </c>
      <c r="K53" s="54">
        <f>200+200</f>
        <v>400</v>
      </c>
      <c r="L53" s="54"/>
      <c r="M53" s="54"/>
      <c r="N53" s="49">
        <f t="shared" si="36"/>
        <v>1900</v>
      </c>
      <c r="O53" s="54">
        <v>1900</v>
      </c>
      <c r="P53" s="54"/>
      <c r="Q53" s="54"/>
      <c r="R53" s="49">
        <f t="shared" si="36"/>
        <v>1900</v>
      </c>
      <c r="S53" s="54">
        <v>1900</v>
      </c>
      <c r="T53" s="54"/>
      <c r="U53" s="54"/>
      <c r="V53" s="73">
        <f t="shared" si="2"/>
        <v>0.21099999999999999</v>
      </c>
    </row>
    <row r="54" spans="1:22" ht="82.5">
      <c r="A54" s="60"/>
      <c r="B54" s="34" t="s">
        <v>214</v>
      </c>
      <c r="C54" s="31">
        <v>811</v>
      </c>
      <c r="D54" s="33" t="s">
        <v>19</v>
      </c>
      <c r="E54" s="31" t="s">
        <v>215</v>
      </c>
      <c r="F54" s="49">
        <f t="shared" si="36"/>
        <v>0</v>
      </c>
      <c r="G54" s="54"/>
      <c r="H54" s="54"/>
      <c r="I54" s="54"/>
      <c r="J54" s="49">
        <f t="shared" si="36"/>
        <v>0</v>
      </c>
      <c r="K54" s="54"/>
      <c r="L54" s="54"/>
      <c r="M54" s="54"/>
      <c r="N54" s="49">
        <f t="shared" si="36"/>
        <v>70587.100000000006</v>
      </c>
      <c r="O54" s="54"/>
      <c r="P54" s="54">
        <v>70587.100000000006</v>
      </c>
      <c r="Q54" s="54"/>
      <c r="R54" s="49">
        <f t="shared" si="36"/>
        <v>0</v>
      </c>
      <c r="S54" s="54"/>
      <c r="T54" s="54"/>
      <c r="U54" s="54"/>
      <c r="V54" s="73"/>
    </row>
    <row r="55" spans="1:22" ht="49.5">
      <c r="A55" s="43" t="s">
        <v>48</v>
      </c>
      <c r="B55" s="28" t="s">
        <v>49</v>
      </c>
      <c r="C55" s="29" t="s">
        <v>14</v>
      </c>
      <c r="D55" s="29" t="s">
        <v>14</v>
      </c>
      <c r="E55" s="29" t="s">
        <v>14</v>
      </c>
      <c r="F55" s="49">
        <f t="shared" ref="F55:U55" si="37">SUM(F57:F59)</f>
        <v>134107</v>
      </c>
      <c r="G55" s="49">
        <f t="shared" si="37"/>
        <v>6630.2</v>
      </c>
      <c r="H55" s="49">
        <f t="shared" ref="H55" si="38">SUM(H57:H59)</f>
        <v>127476.8</v>
      </c>
      <c r="I55" s="49">
        <f t="shared" si="37"/>
        <v>0</v>
      </c>
      <c r="J55" s="49">
        <f t="shared" si="37"/>
        <v>1500</v>
      </c>
      <c r="K55" s="49">
        <f t="shared" si="37"/>
        <v>1500</v>
      </c>
      <c r="L55" s="49">
        <f t="shared" si="37"/>
        <v>0</v>
      </c>
      <c r="M55" s="49">
        <f t="shared" si="37"/>
        <v>0</v>
      </c>
      <c r="N55" s="49">
        <f t="shared" si="37"/>
        <v>113968.5</v>
      </c>
      <c r="O55" s="49">
        <f t="shared" si="37"/>
        <v>6630.2</v>
      </c>
      <c r="P55" s="49">
        <f t="shared" si="37"/>
        <v>107338.3</v>
      </c>
      <c r="Q55" s="49">
        <f t="shared" si="37"/>
        <v>0</v>
      </c>
      <c r="R55" s="49">
        <f t="shared" si="37"/>
        <v>157179</v>
      </c>
      <c r="S55" s="49">
        <f t="shared" si="37"/>
        <v>6630.2</v>
      </c>
      <c r="T55" s="49">
        <f t="shared" si="37"/>
        <v>150548.79999999999</v>
      </c>
      <c r="U55" s="49">
        <f t="shared" si="37"/>
        <v>0</v>
      </c>
      <c r="V55" s="70">
        <f t="shared" si="2"/>
        <v>1.0999999999999999E-2</v>
      </c>
    </row>
    <row r="56" spans="1:22" ht="18.75">
      <c r="A56" s="60"/>
      <c r="B56" s="30" t="s">
        <v>17</v>
      </c>
      <c r="C56" s="31"/>
      <c r="D56" s="31"/>
      <c r="E56" s="31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70"/>
    </row>
    <row r="57" spans="1:22" s="9" customFormat="1" ht="49.5">
      <c r="A57" s="62"/>
      <c r="B57" s="40" t="s">
        <v>50</v>
      </c>
      <c r="C57" s="41">
        <v>811</v>
      </c>
      <c r="D57" s="42" t="s">
        <v>19</v>
      </c>
      <c r="E57" s="41" t="s">
        <v>218</v>
      </c>
      <c r="F57" s="49">
        <f t="shared" ref="F57:R59" si="39">G57+H57+I57</f>
        <v>90936.5</v>
      </c>
      <c r="G57" s="56"/>
      <c r="H57" s="56">
        <v>90936.5</v>
      </c>
      <c r="I57" s="56"/>
      <c r="J57" s="49">
        <f t="shared" si="39"/>
        <v>0</v>
      </c>
      <c r="K57" s="56"/>
      <c r="L57" s="56"/>
      <c r="M57" s="56"/>
      <c r="N57" s="49">
        <f t="shared" si="39"/>
        <v>70798</v>
      </c>
      <c r="O57" s="56"/>
      <c r="P57" s="56">
        <v>70798</v>
      </c>
      <c r="Q57" s="56"/>
      <c r="R57" s="49">
        <f t="shared" si="39"/>
        <v>114008.5</v>
      </c>
      <c r="S57" s="56"/>
      <c r="T57" s="56">
        <v>114008.5</v>
      </c>
      <c r="U57" s="56"/>
      <c r="V57" s="74">
        <f t="shared" si="2"/>
        <v>0</v>
      </c>
    </row>
    <row r="58" spans="1:22" s="9" customFormat="1" ht="82.5">
      <c r="A58" s="62"/>
      <c r="B58" s="40" t="s">
        <v>220</v>
      </c>
      <c r="C58" s="41">
        <v>811</v>
      </c>
      <c r="D58" s="42" t="s">
        <v>19</v>
      </c>
      <c r="E58" s="41" t="s">
        <v>219</v>
      </c>
      <c r="F58" s="49">
        <f t="shared" si="39"/>
        <v>37670.5</v>
      </c>
      <c r="G58" s="56">
        <v>1130.2</v>
      </c>
      <c r="H58" s="56">
        <v>36540.300000000003</v>
      </c>
      <c r="I58" s="56"/>
      <c r="J58" s="49">
        <f t="shared" si="39"/>
        <v>0</v>
      </c>
      <c r="K58" s="56"/>
      <c r="L58" s="56"/>
      <c r="M58" s="56"/>
      <c r="N58" s="49">
        <f t="shared" si="39"/>
        <v>37670.5</v>
      </c>
      <c r="O58" s="56">
        <v>1130.2</v>
      </c>
      <c r="P58" s="56">
        <v>36540.300000000003</v>
      </c>
      <c r="Q58" s="56"/>
      <c r="R58" s="49">
        <f t="shared" si="39"/>
        <v>37670.5</v>
      </c>
      <c r="S58" s="56">
        <v>1130.2</v>
      </c>
      <c r="T58" s="56">
        <v>36540.300000000003</v>
      </c>
      <c r="U58" s="56"/>
      <c r="V58" s="74">
        <f t="shared" si="2"/>
        <v>0</v>
      </c>
    </row>
    <row r="59" spans="1:22" s="9" customFormat="1" ht="66">
      <c r="A59" s="62"/>
      <c r="B59" s="40" t="s">
        <v>51</v>
      </c>
      <c r="C59" s="41">
        <v>811</v>
      </c>
      <c r="D59" s="42" t="s">
        <v>19</v>
      </c>
      <c r="E59" s="41" t="s">
        <v>316</v>
      </c>
      <c r="F59" s="49">
        <f t="shared" si="39"/>
        <v>5500</v>
      </c>
      <c r="G59" s="56">
        <v>5500</v>
      </c>
      <c r="H59" s="56"/>
      <c r="I59" s="56"/>
      <c r="J59" s="49">
        <f t="shared" si="39"/>
        <v>1500</v>
      </c>
      <c r="K59" s="56">
        <f>500+500+500</f>
        <v>1500</v>
      </c>
      <c r="L59" s="56"/>
      <c r="M59" s="56"/>
      <c r="N59" s="49">
        <f t="shared" si="39"/>
        <v>5500</v>
      </c>
      <c r="O59" s="56">
        <v>5500</v>
      </c>
      <c r="P59" s="56"/>
      <c r="Q59" s="56"/>
      <c r="R59" s="49">
        <f t="shared" si="39"/>
        <v>5500</v>
      </c>
      <c r="S59" s="56">
        <v>5500</v>
      </c>
      <c r="T59" s="56"/>
      <c r="U59" s="56"/>
      <c r="V59" s="74">
        <f t="shared" si="2"/>
        <v>0.27300000000000002</v>
      </c>
    </row>
    <row r="60" spans="1:22" ht="105" customHeight="1">
      <c r="A60" s="57" t="s">
        <v>52</v>
      </c>
      <c r="B60" s="15" t="s">
        <v>53</v>
      </c>
      <c r="C60" s="6" t="s">
        <v>14</v>
      </c>
      <c r="D60" s="6" t="s">
        <v>14</v>
      </c>
      <c r="E60" s="6" t="s">
        <v>14</v>
      </c>
      <c r="F60" s="51">
        <f t="shared" ref="F60:T60" si="40">SUM(F62:F63)</f>
        <v>107637</v>
      </c>
      <c r="G60" s="49">
        <f t="shared" si="40"/>
        <v>20373.3</v>
      </c>
      <c r="H60" s="49">
        <f t="shared" si="40"/>
        <v>87263.7</v>
      </c>
      <c r="I60" s="49">
        <f t="shared" si="40"/>
        <v>0</v>
      </c>
      <c r="J60" s="51">
        <f t="shared" si="40"/>
        <v>600</v>
      </c>
      <c r="K60" s="51">
        <f t="shared" si="40"/>
        <v>600</v>
      </c>
      <c r="L60" s="51">
        <f t="shared" si="40"/>
        <v>0</v>
      </c>
      <c r="M60" s="49">
        <f t="shared" si="40"/>
        <v>0</v>
      </c>
      <c r="N60" s="51">
        <f t="shared" si="40"/>
        <v>2500</v>
      </c>
      <c r="O60" s="49">
        <f t="shared" si="40"/>
        <v>2500</v>
      </c>
      <c r="P60" s="49">
        <f t="shared" si="40"/>
        <v>0</v>
      </c>
      <c r="Q60" s="49">
        <f t="shared" si="40"/>
        <v>0</v>
      </c>
      <c r="R60" s="51">
        <f t="shared" si="40"/>
        <v>2500</v>
      </c>
      <c r="S60" s="49">
        <f t="shared" si="40"/>
        <v>2500</v>
      </c>
      <c r="T60" s="49">
        <f t="shared" si="40"/>
        <v>0</v>
      </c>
      <c r="U60" s="49">
        <f>SUM(U62:U63)</f>
        <v>0</v>
      </c>
      <c r="V60" s="70">
        <f t="shared" si="2"/>
        <v>6.0000000000000001E-3</v>
      </c>
    </row>
    <row r="61" spans="1:22" ht="18.75">
      <c r="A61" s="58"/>
      <c r="B61" s="16" t="s">
        <v>17</v>
      </c>
      <c r="C61" s="7"/>
      <c r="D61" s="7"/>
      <c r="E61" s="7"/>
      <c r="F61" s="51"/>
      <c r="G61" s="49"/>
      <c r="H61" s="49"/>
      <c r="I61" s="49"/>
      <c r="J61" s="51"/>
      <c r="K61" s="51"/>
      <c r="L61" s="51"/>
      <c r="M61" s="49"/>
      <c r="N61" s="51"/>
      <c r="O61" s="49"/>
      <c r="P61" s="49"/>
      <c r="Q61" s="49"/>
      <c r="R61" s="51"/>
      <c r="S61" s="49"/>
      <c r="T61" s="49"/>
      <c r="U61" s="49"/>
      <c r="V61" s="70"/>
    </row>
    <row r="62" spans="1:22" ht="82.5">
      <c r="A62" s="58"/>
      <c r="B62" s="17" t="s">
        <v>54</v>
      </c>
      <c r="C62" s="7">
        <v>811</v>
      </c>
      <c r="D62" s="8" t="s">
        <v>19</v>
      </c>
      <c r="E62" s="7" t="s">
        <v>224</v>
      </c>
      <c r="F62" s="51">
        <f t="shared" ref="F62:F63" si="41">G62+H62+I62</f>
        <v>105137</v>
      </c>
      <c r="G62" s="54">
        <f>17629.8+243.5</f>
        <v>17873.3</v>
      </c>
      <c r="H62" s="54">
        <v>87263.7</v>
      </c>
      <c r="I62" s="54"/>
      <c r="J62" s="51">
        <f t="shared" ref="J62:J63" si="42">K62+L62+M62</f>
        <v>0</v>
      </c>
      <c r="K62" s="55"/>
      <c r="L62" s="54"/>
      <c r="M62" s="54"/>
      <c r="N62" s="65">
        <f>O62+P62+Q62</f>
        <v>0</v>
      </c>
      <c r="O62" s="54"/>
      <c r="P62" s="49"/>
      <c r="Q62" s="54"/>
      <c r="R62" s="65">
        <f>S62+T62+U62</f>
        <v>0</v>
      </c>
      <c r="S62" s="54"/>
      <c r="T62" s="49"/>
      <c r="U62" s="54"/>
      <c r="V62" s="70">
        <f t="shared" ref="V62:V116" si="43">J62/F62</f>
        <v>0</v>
      </c>
    </row>
    <row r="63" spans="1:22" ht="49.5">
      <c r="A63" s="58"/>
      <c r="B63" s="17" t="s">
        <v>55</v>
      </c>
      <c r="C63" s="7">
        <v>811</v>
      </c>
      <c r="D63" s="8" t="s">
        <v>19</v>
      </c>
      <c r="E63" s="7" t="s">
        <v>317</v>
      </c>
      <c r="F63" s="51">
        <f t="shared" si="41"/>
        <v>2500</v>
      </c>
      <c r="G63" s="54">
        <v>2500</v>
      </c>
      <c r="H63" s="54"/>
      <c r="I63" s="54"/>
      <c r="J63" s="51">
        <f t="shared" si="42"/>
        <v>600</v>
      </c>
      <c r="K63" s="55">
        <f>200+200+200</f>
        <v>600</v>
      </c>
      <c r="L63" s="54"/>
      <c r="M63" s="54"/>
      <c r="N63" s="65">
        <f>O63+P63+Q63</f>
        <v>2500</v>
      </c>
      <c r="O63" s="54">
        <v>2500</v>
      </c>
      <c r="P63" s="49"/>
      <c r="Q63" s="54"/>
      <c r="R63" s="65">
        <f>S63+T63+U63</f>
        <v>2500</v>
      </c>
      <c r="S63" s="54">
        <v>2500</v>
      </c>
      <c r="T63" s="49"/>
      <c r="U63" s="54"/>
      <c r="V63" s="70">
        <f t="shared" si="43"/>
        <v>0.24</v>
      </c>
    </row>
    <row r="64" spans="1:22" ht="99">
      <c r="A64" s="43" t="s">
        <v>56</v>
      </c>
      <c r="B64" s="28" t="s">
        <v>57</v>
      </c>
      <c r="C64" s="29" t="s">
        <v>14</v>
      </c>
      <c r="D64" s="29" t="s">
        <v>14</v>
      </c>
      <c r="E64" s="29" t="s">
        <v>14</v>
      </c>
      <c r="F64" s="49">
        <f t="shared" ref="F64:U64" si="44">SUM(F66:F67)</f>
        <v>405713</v>
      </c>
      <c r="G64" s="49">
        <f t="shared" si="44"/>
        <v>26290</v>
      </c>
      <c r="H64" s="49">
        <f t="shared" ref="H64" si="45">SUM(H66:H67)</f>
        <v>379423</v>
      </c>
      <c r="I64" s="49">
        <f t="shared" si="44"/>
        <v>0</v>
      </c>
      <c r="J64" s="49">
        <f t="shared" si="44"/>
        <v>1500</v>
      </c>
      <c r="K64" s="49">
        <f t="shared" si="44"/>
        <v>1500</v>
      </c>
      <c r="L64" s="49">
        <f t="shared" si="44"/>
        <v>0</v>
      </c>
      <c r="M64" s="49">
        <f t="shared" si="44"/>
        <v>0</v>
      </c>
      <c r="N64" s="49">
        <f t="shared" si="44"/>
        <v>132395.1</v>
      </c>
      <c r="O64" s="49">
        <f t="shared" si="44"/>
        <v>26290</v>
      </c>
      <c r="P64" s="49">
        <f t="shared" si="44"/>
        <v>106105.1</v>
      </c>
      <c r="Q64" s="49">
        <f t="shared" si="44"/>
        <v>0</v>
      </c>
      <c r="R64" s="49">
        <f t="shared" si="44"/>
        <v>39615</v>
      </c>
      <c r="S64" s="49">
        <f t="shared" si="44"/>
        <v>26290</v>
      </c>
      <c r="T64" s="49">
        <f t="shared" si="44"/>
        <v>13325</v>
      </c>
      <c r="U64" s="49">
        <f t="shared" si="44"/>
        <v>0</v>
      </c>
      <c r="V64" s="70">
        <f t="shared" si="43"/>
        <v>4.0000000000000001E-3</v>
      </c>
    </row>
    <row r="65" spans="1:22" ht="18.75">
      <c r="A65" s="60"/>
      <c r="B65" s="30" t="s">
        <v>17</v>
      </c>
      <c r="C65" s="31"/>
      <c r="D65" s="31"/>
      <c r="E65" s="31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70"/>
    </row>
    <row r="66" spans="1:22" ht="82.5">
      <c r="A66" s="60"/>
      <c r="B66" s="34" t="s">
        <v>58</v>
      </c>
      <c r="C66" s="31">
        <v>811</v>
      </c>
      <c r="D66" s="33" t="s">
        <v>19</v>
      </c>
      <c r="E66" s="31" t="s">
        <v>225</v>
      </c>
      <c r="F66" s="49">
        <f t="shared" ref="F66:R67" si="46">G66+H66+I66</f>
        <v>397213</v>
      </c>
      <c r="G66" s="54">
        <v>17790</v>
      </c>
      <c r="H66" s="54">
        <v>379423</v>
      </c>
      <c r="I66" s="54"/>
      <c r="J66" s="49">
        <f t="shared" si="46"/>
        <v>0</v>
      </c>
      <c r="K66" s="54"/>
      <c r="L66" s="54"/>
      <c r="M66" s="54"/>
      <c r="N66" s="49">
        <f t="shared" si="46"/>
        <v>123895.1</v>
      </c>
      <c r="O66" s="54">
        <v>17790</v>
      </c>
      <c r="P66" s="54">
        <v>106105.1</v>
      </c>
      <c r="Q66" s="54"/>
      <c r="R66" s="49">
        <f t="shared" si="46"/>
        <v>31115</v>
      </c>
      <c r="S66" s="54">
        <v>17790</v>
      </c>
      <c r="T66" s="54">
        <v>13325</v>
      </c>
      <c r="U66" s="54"/>
      <c r="V66" s="73">
        <f t="shared" si="43"/>
        <v>0</v>
      </c>
    </row>
    <row r="67" spans="1:22" ht="66">
      <c r="A67" s="60"/>
      <c r="B67" s="34" t="s">
        <v>59</v>
      </c>
      <c r="C67" s="31">
        <v>811</v>
      </c>
      <c r="D67" s="33" t="s">
        <v>19</v>
      </c>
      <c r="E67" s="31" t="s">
        <v>313</v>
      </c>
      <c r="F67" s="49">
        <f t="shared" si="46"/>
        <v>8500</v>
      </c>
      <c r="G67" s="54">
        <v>8500</v>
      </c>
      <c r="H67" s="54"/>
      <c r="I67" s="54"/>
      <c r="J67" s="49">
        <f t="shared" si="46"/>
        <v>1500</v>
      </c>
      <c r="K67" s="54">
        <f>600+900</f>
        <v>1500</v>
      </c>
      <c r="L67" s="54"/>
      <c r="M67" s="54"/>
      <c r="N67" s="49">
        <f t="shared" si="46"/>
        <v>8500</v>
      </c>
      <c r="O67" s="54">
        <v>8500</v>
      </c>
      <c r="P67" s="54"/>
      <c r="Q67" s="54"/>
      <c r="R67" s="49">
        <f t="shared" si="46"/>
        <v>8500</v>
      </c>
      <c r="S67" s="54">
        <v>8500</v>
      </c>
      <c r="T67" s="54"/>
      <c r="U67" s="54"/>
      <c r="V67" s="73">
        <f t="shared" si="43"/>
        <v>0.17599999999999999</v>
      </c>
    </row>
    <row r="68" spans="1:22" ht="33" customHeight="1">
      <c r="A68" s="27" t="s">
        <v>60</v>
      </c>
      <c r="B68" s="15" t="s">
        <v>61</v>
      </c>
      <c r="C68" s="6" t="s">
        <v>14</v>
      </c>
      <c r="D68" s="6" t="s">
        <v>14</v>
      </c>
      <c r="E68" s="6" t="s">
        <v>14</v>
      </c>
      <c r="F68" s="51">
        <f t="shared" ref="F68:U68" si="47">SUM(F70:F71)</f>
        <v>1618821.3</v>
      </c>
      <c r="G68" s="49">
        <f>SUM(G70:G71)</f>
        <v>223233.5</v>
      </c>
      <c r="H68" s="49">
        <f t="shared" ref="H68" si="48">SUM(H70:H71)</f>
        <v>1395587.8</v>
      </c>
      <c r="I68" s="49">
        <f t="shared" si="47"/>
        <v>0</v>
      </c>
      <c r="J68" s="51">
        <f t="shared" si="47"/>
        <v>33042.300000000003</v>
      </c>
      <c r="K68" s="51">
        <f t="shared" si="47"/>
        <v>6079.7</v>
      </c>
      <c r="L68" s="49">
        <f t="shared" si="47"/>
        <v>26962.6</v>
      </c>
      <c r="M68" s="49">
        <f t="shared" si="47"/>
        <v>0</v>
      </c>
      <c r="N68" s="51">
        <f t="shared" si="47"/>
        <v>2591821</v>
      </c>
      <c r="O68" s="49">
        <f t="shared" si="47"/>
        <v>499078.40000000002</v>
      </c>
      <c r="P68" s="49">
        <f t="shared" si="47"/>
        <v>2092742.6</v>
      </c>
      <c r="Q68" s="49">
        <f t="shared" si="47"/>
        <v>0</v>
      </c>
      <c r="R68" s="51">
        <f t="shared" si="47"/>
        <v>212689.9</v>
      </c>
      <c r="S68" s="49">
        <f t="shared" si="47"/>
        <v>0</v>
      </c>
      <c r="T68" s="49">
        <f t="shared" si="47"/>
        <v>212689.9</v>
      </c>
      <c r="U68" s="49">
        <f t="shared" si="47"/>
        <v>0</v>
      </c>
      <c r="V68" s="70">
        <f t="shared" si="43"/>
        <v>0.02</v>
      </c>
    </row>
    <row r="69" spans="1:22" ht="18.75">
      <c r="A69" s="58"/>
      <c r="B69" s="16" t="s">
        <v>17</v>
      </c>
      <c r="C69" s="7"/>
      <c r="D69" s="7"/>
      <c r="E69" s="7"/>
      <c r="F69" s="51"/>
      <c r="G69" s="49"/>
      <c r="H69" s="49"/>
      <c r="I69" s="49"/>
      <c r="J69" s="51"/>
      <c r="K69" s="51"/>
      <c r="L69" s="49"/>
      <c r="M69" s="49"/>
      <c r="N69" s="51"/>
      <c r="O69" s="49"/>
      <c r="P69" s="49"/>
      <c r="Q69" s="49"/>
      <c r="R69" s="51"/>
      <c r="S69" s="49"/>
      <c r="T69" s="49"/>
      <c r="U69" s="49"/>
      <c r="V69" s="70"/>
    </row>
    <row r="70" spans="1:22" ht="49.5">
      <c r="A70" s="57"/>
      <c r="B70" s="17" t="s">
        <v>221</v>
      </c>
      <c r="C70" s="7">
        <v>811</v>
      </c>
      <c r="D70" s="8" t="s">
        <v>19</v>
      </c>
      <c r="E70" s="7" t="s">
        <v>222</v>
      </c>
      <c r="F70" s="51">
        <f t="shared" ref="F70:R71" si="49">G70+H70+I70</f>
        <v>438102.8</v>
      </c>
      <c r="G70" s="54"/>
      <c r="H70" s="54">
        <v>438102.8</v>
      </c>
      <c r="I70" s="54"/>
      <c r="J70" s="51">
        <f t="shared" si="49"/>
        <v>0</v>
      </c>
      <c r="K70" s="55"/>
      <c r="L70" s="54"/>
      <c r="M70" s="54"/>
      <c r="N70" s="51">
        <f t="shared" si="49"/>
        <v>177770.6</v>
      </c>
      <c r="O70" s="54"/>
      <c r="P70" s="54">
        <v>177770.6</v>
      </c>
      <c r="Q70" s="54"/>
      <c r="R70" s="51">
        <f t="shared" si="49"/>
        <v>212689.9</v>
      </c>
      <c r="S70" s="54"/>
      <c r="T70" s="54">
        <v>212689.9</v>
      </c>
      <c r="U70" s="54"/>
      <c r="V70" s="73">
        <f t="shared" si="43"/>
        <v>0</v>
      </c>
    </row>
    <row r="71" spans="1:22" ht="82.5">
      <c r="A71" s="57"/>
      <c r="B71" s="17" t="s">
        <v>382</v>
      </c>
      <c r="C71" s="7">
        <v>821</v>
      </c>
      <c r="D71" s="8" t="s">
        <v>21</v>
      </c>
      <c r="E71" s="7" t="s">
        <v>223</v>
      </c>
      <c r="F71" s="51">
        <f>G71+H71+I71</f>
        <v>1180718.5</v>
      </c>
      <c r="G71" s="54">
        <f>202067.8+21155.23+10.49</f>
        <v>223233.5</v>
      </c>
      <c r="H71" s="54">
        <v>957485</v>
      </c>
      <c r="I71" s="54"/>
      <c r="J71" s="51">
        <f t="shared" si="49"/>
        <v>33042.300000000003</v>
      </c>
      <c r="K71" s="55">
        <f>3513.6+2566.08</f>
        <v>6079.7</v>
      </c>
      <c r="L71" s="54">
        <f>14693.3+12269.26</f>
        <v>26962.6</v>
      </c>
      <c r="M71" s="54"/>
      <c r="N71" s="51">
        <f t="shared" si="49"/>
        <v>2414050.4</v>
      </c>
      <c r="O71" s="54">
        <v>499078.40000000002</v>
      </c>
      <c r="P71" s="54">
        <v>1914972</v>
      </c>
      <c r="Q71" s="54"/>
      <c r="R71" s="51">
        <f t="shared" si="49"/>
        <v>0</v>
      </c>
      <c r="S71" s="54"/>
      <c r="T71" s="54"/>
      <c r="U71" s="54"/>
      <c r="V71" s="73">
        <f t="shared" si="43"/>
        <v>2.8000000000000001E-2</v>
      </c>
    </row>
    <row r="72" spans="1:22" ht="18.75">
      <c r="A72" s="59" t="s">
        <v>62</v>
      </c>
      <c r="B72" s="21" t="s">
        <v>63</v>
      </c>
      <c r="C72" s="1" t="s">
        <v>14</v>
      </c>
      <c r="D72" s="1" t="s">
        <v>14</v>
      </c>
      <c r="E72" s="1" t="s">
        <v>14</v>
      </c>
      <c r="F72" s="48">
        <f t="shared" ref="F72:U72" si="50">F73+F81+F88+F96+F104+F107+F110</f>
        <v>1738683.8</v>
      </c>
      <c r="G72" s="48">
        <f t="shared" si="50"/>
        <v>1358000.3</v>
      </c>
      <c r="H72" s="48">
        <f t="shared" si="50"/>
        <v>347065.59999999998</v>
      </c>
      <c r="I72" s="48">
        <f t="shared" si="50"/>
        <v>33617.9</v>
      </c>
      <c r="J72" s="48">
        <f t="shared" si="50"/>
        <v>743002.7</v>
      </c>
      <c r="K72" s="48">
        <f t="shared" si="50"/>
        <v>742109.8</v>
      </c>
      <c r="L72" s="48">
        <f t="shared" si="50"/>
        <v>0</v>
      </c>
      <c r="M72" s="48">
        <f t="shared" si="50"/>
        <v>892.9</v>
      </c>
      <c r="N72" s="48">
        <f t="shared" si="50"/>
        <v>1953745</v>
      </c>
      <c r="O72" s="48">
        <f t="shared" si="50"/>
        <v>907005.1</v>
      </c>
      <c r="P72" s="48">
        <f t="shared" si="50"/>
        <v>1046710.2</v>
      </c>
      <c r="Q72" s="48">
        <f t="shared" si="50"/>
        <v>29.7</v>
      </c>
      <c r="R72" s="48">
        <f t="shared" si="50"/>
        <v>1355805.5</v>
      </c>
      <c r="S72" s="48">
        <f t="shared" si="50"/>
        <v>970286.5</v>
      </c>
      <c r="T72" s="48">
        <f t="shared" si="50"/>
        <v>385489.3</v>
      </c>
      <c r="U72" s="48">
        <f t="shared" si="50"/>
        <v>29.7</v>
      </c>
      <c r="V72" s="69">
        <f t="shared" si="43"/>
        <v>0.42699999999999999</v>
      </c>
    </row>
    <row r="73" spans="1:22" ht="33">
      <c r="A73" s="57" t="s">
        <v>64</v>
      </c>
      <c r="B73" s="15" t="s">
        <v>65</v>
      </c>
      <c r="C73" s="6" t="s">
        <v>14</v>
      </c>
      <c r="D73" s="6" t="s">
        <v>14</v>
      </c>
      <c r="E73" s="6" t="s">
        <v>14</v>
      </c>
      <c r="F73" s="51">
        <f t="shared" ref="F73:U73" si="51">SUM(F75:F80)</f>
        <v>1242104.6000000001</v>
      </c>
      <c r="G73" s="49">
        <f t="shared" si="51"/>
        <v>1160245.6000000001</v>
      </c>
      <c r="H73" s="49">
        <f t="shared" ref="H73" si="52">SUM(H75:H80)</f>
        <v>48751.1</v>
      </c>
      <c r="I73" s="49">
        <f t="shared" si="51"/>
        <v>33107.9</v>
      </c>
      <c r="J73" s="51">
        <f t="shared" si="51"/>
        <v>732941.6</v>
      </c>
      <c r="K73" s="51">
        <f t="shared" si="51"/>
        <v>732048.7</v>
      </c>
      <c r="L73" s="49">
        <f t="shared" si="51"/>
        <v>0</v>
      </c>
      <c r="M73" s="49">
        <f t="shared" si="51"/>
        <v>892.9</v>
      </c>
      <c r="N73" s="51">
        <f t="shared" si="51"/>
        <v>1040766</v>
      </c>
      <c r="O73" s="49">
        <f t="shared" si="51"/>
        <v>688444.2</v>
      </c>
      <c r="P73" s="49">
        <f t="shared" si="51"/>
        <v>352321.8</v>
      </c>
      <c r="Q73" s="49">
        <f t="shared" si="51"/>
        <v>0</v>
      </c>
      <c r="R73" s="51">
        <f t="shared" si="51"/>
        <v>1051651.8999999999</v>
      </c>
      <c r="S73" s="49">
        <f t="shared" si="51"/>
        <v>698195.2</v>
      </c>
      <c r="T73" s="49">
        <f t="shared" si="51"/>
        <v>353456.7</v>
      </c>
      <c r="U73" s="49">
        <f t="shared" si="51"/>
        <v>0</v>
      </c>
      <c r="V73" s="70">
        <f t="shared" si="43"/>
        <v>0.59</v>
      </c>
    </row>
    <row r="74" spans="1:22" ht="18.75">
      <c r="A74" s="60"/>
      <c r="B74" s="30" t="s">
        <v>17</v>
      </c>
      <c r="C74" s="31"/>
      <c r="D74" s="31"/>
      <c r="E74" s="31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70"/>
    </row>
    <row r="75" spans="1:22" ht="132">
      <c r="A75" s="60"/>
      <c r="B75" s="34" t="s">
        <v>238</v>
      </c>
      <c r="C75" s="31">
        <v>815</v>
      </c>
      <c r="D75" s="33" t="s">
        <v>66</v>
      </c>
      <c r="E75" s="44" t="s">
        <v>239</v>
      </c>
      <c r="F75" s="49">
        <f t="shared" ref="F75:R80" si="53">G75+H75+I75</f>
        <v>34628.699999999997</v>
      </c>
      <c r="G75" s="54">
        <v>1038.9000000000001</v>
      </c>
      <c r="H75" s="54">
        <v>33589.800000000003</v>
      </c>
      <c r="I75" s="54"/>
      <c r="J75" s="49">
        <f t="shared" si="53"/>
        <v>0</v>
      </c>
      <c r="K75" s="54"/>
      <c r="L75" s="54"/>
      <c r="M75" s="54"/>
      <c r="N75" s="49">
        <f t="shared" si="53"/>
        <v>0</v>
      </c>
      <c r="O75" s="54"/>
      <c r="P75" s="54"/>
      <c r="Q75" s="54"/>
      <c r="R75" s="49">
        <f t="shared" si="53"/>
        <v>0</v>
      </c>
      <c r="S75" s="54"/>
      <c r="T75" s="54"/>
      <c r="U75" s="54"/>
      <c r="V75" s="73">
        <f t="shared" si="43"/>
        <v>0</v>
      </c>
    </row>
    <row r="76" spans="1:22" ht="99">
      <c r="A76" s="60"/>
      <c r="B76" s="34" t="s">
        <v>240</v>
      </c>
      <c r="C76" s="31">
        <v>815</v>
      </c>
      <c r="D76" s="33" t="s">
        <v>66</v>
      </c>
      <c r="E76" s="44" t="s">
        <v>241</v>
      </c>
      <c r="F76" s="49">
        <f t="shared" si="53"/>
        <v>21654.7</v>
      </c>
      <c r="G76" s="54">
        <v>6493.4</v>
      </c>
      <c r="H76" s="54">
        <v>15161.3</v>
      </c>
      <c r="I76" s="54"/>
      <c r="J76" s="49">
        <f t="shared" si="53"/>
        <v>75</v>
      </c>
      <c r="K76" s="54">
        <f>3.2+22.5+49.34</f>
        <v>75</v>
      </c>
      <c r="L76" s="54"/>
      <c r="M76" s="54"/>
      <c r="N76" s="49">
        <f t="shared" si="53"/>
        <v>14766</v>
      </c>
      <c r="O76" s="54">
        <v>600</v>
      </c>
      <c r="P76" s="54">
        <v>14166</v>
      </c>
      <c r="Q76" s="54"/>
      <c r="R76" s="49">
        <f t="shared" si="53"/>
        <v>25652</v>
      </c>
      <c r="S76" s="54">
        <v>10351</v>
      </c>
      <c r="T76" s="54">
        <v>15301</v>
      </c>
      <c r="U76" s="54"/>
      <c r="V76" s="73">
        <f t="shared" si="43"/>
        <v>3.0000000000000001E-3</v>
      </c>
    </row>
    <row r="77" spans="1:22" ht="82.5">
      <c r="A77" s="60"/>
      <c r="B77" s="34" t="s">
        <v>172</v>
      </c>
      <c r="C77" s="31">
        <v>821</v>
      </c>
      <c r="D77" s="33" t="s">
        <v>21</v>
      </c>
      <c r="E77" s="44" t="s">
        <v>365</v>
      </c>
      <c r="F77" s="49">
        <f t="shared" si="53"/>
        <v>307609.40000000002</v>
      </c>
      <c r="G77" s="54">
        <v>307301.8</v>
      </c>
      <c r="H77" s="54"/>
      <c r="I77" s="54">
        <v>307.60000000000002</v>
      </c>
      <c r="J77" s="49">
        <f t="shared" si="53"/>
        <v>0</v>
      </c>
      <c r="K77" s="54"/>
      <c r="L77" s="54"/>
      <c r="M77" s="54"/>
      <c r="N77" s="49">
        <f t="shared" si="53"/>
        <v>0</v>
      </c>
      <c r="O77" s="54"/>
      <c r="P77" s="54"/>
      <c r="Q77" s="54"/>
      <c r="R77" s="49">
        <f t="shared" si="53"/>
        <v>0</v>
      </c>
      <c r="S77" s="54"/>
      <c r="T77" s="54"/>
      <c r="U77" s="54"/>
      <c r="V77" s="73">
        <f t="shared" si="43"/>
        <v>0</v>
      </c>
    </row>
    <row r="78" spans="1:22" ht="66">
      <c r="A78" s="60"/>
      <c r="B78" s="34" t="s">
        <v>342</v>
      </c>
      <c r="C78" s="31">
        <v>815</v>
      </c>
      <c r="D78" s="33" t="s">
        <v>66</v>
      </c>
      <c r="E78" s="44" t="s">
        <v>341</v>
      </c>
      <c r="F78" s="49">
        <f t="shared" si="53"/>
        <v>69189.100000000006</v>
      </c>
      <c r="G78" s="54">
        <v>69119.8</v>
      </c>
      <c r="H78" s="54"/>
      <c r="I78" s="54">
        <v>69.3</v>
      </c>
      <c r="J78" s="49">
        <f t="shared" si="53"/>
        <v>0</v>
      </c>
      <c r="K78" s="54"/>
      <c r="L78" s="54"/>
      <c r="M78" s="54"/>
      <c r="N78" s="49">
        <f t="shared" si="53"/>
        <v>0</v>
      </c>
      <c r="O78" s="54"/>
      <c r="P78" s="54"/>
      <c r="Q78" s="54"/>
      <c r="R78" s="49">
        <f t="shared" si="53"/>
        <v>0</v>
      </c>
      <c r="S78" s="54"/>
      <c r="T78" s="54"/>
      <c r="U78" s="54"/>
      <c r="V78" s="73">
        <f t="shared" si="43"/>
        <v>0</v>
      </c>
    </row>
    <row r="79" spans="1:22" ht="66">
      <c r="A79" s="60"/>
      <c r="B79" s="34" t="s">
        <v>173</v>
      </c>
      <c r="C79" s="31">
        <v>821</v>
      </c>
      <c r="D79" s="33" t="s">
        <v>21</v>
      </c>
      <c r="E79" s="44" t="s">
        <v>242</v>
      </c>
      <c r="F79" s="49">
        <f t="shared" si="53"/>
        <v>732866.7</v>
      </c>
      <c r="G79" s="54">
        <v>731973.7</v>
      </c>
      <c r="H79" s="54"/>
      <c r="I79" s="54">
        <v>893</v>
      </c>
      <c r="J79" s="49">
        <f t="shared" si="53"/>
        <v>732866.6</v>
      </c>
      <c r="K79" s="54">
        <v>731973.7</v>
      </c>
      <c r="L79" s="54"/>
      <c r="M79" s="54">
        <v>892.9</v>
      </c>
      <c r="N79" s="49">
        <f t="shared" si="53"/>
        <v>1026000</v>
      </c>
      <c r="O79" s="54">
        <v>687844.2</v>
      </c>
      <c r="P79" s="54">
        <v>338155.8</v>
      </c>
      <c r="Q79" s="54"/>
      <c r="R79" s="49">
        <f t="shared" si="53"/>
        <v>1025999.9</v>
      </c>
      <c r="S79" s="54">
        <v>687844.2</v>
      </c>
      <c r="T79" s="54">
        <v>338155.7</v>
      </c>
      <c r="U79" s="54"/>
      <c r="V79" s="73">
        <f t="shared" si="43"/>
        <v>1</v>
      </c>
    </row>
    <row r="80" spans="1:22" ht="49.5">
      <c r="A80" s="60"/>
      <c r="B80" s="34" t="s">
        <v>67</v>
      </c>
      <c r="C80" s="31">
        <v>815</v>
      </c>
      <c r="D80" s="33" t="s">
        <v>66</v>
      </c>
      <c r="E80" s="44" t="s">
        <v>343</v>
      </c>
      <c r="F80" s="49">
        <f t="shared" si="53"/>
        <v>76156</v>
      </c>
      <c r="G80" s="54">
        <v>44318</v>
      </c>
      <c r="H80" s="54"/>
      <c r="I80" s="54">
        <v>31838</v>
      </c>
      <c r="J80" s="49">
        <f t="shared" si="53"/>
        <v>0</v>
      </c>
      <c r="K80" s="54"/>
      <c r="L80" s="54"/>
      <c r="M80" s="54"/>
      <c r="N80" s="49">
        <f t="shared" si="53"/>
        <v>0</v>
      </c>
      <c r="O80" s="54"/>
      <c r="P80" s="54"/>
      <c r="Q80" s="54"/>
      <c r="R80" s="49">
        <f t="shared" si="53"/>
        <v>0</v>
      </c>
      <c r="S80" s="54"/>
      <c r="T80" s="54"/>
      <c r="U80" s="54"/>
      <c r="V80" s="73">
        <f t="shared" si="43"/>
        <v>0</v>
      </c>
    </row>
    <row r="81" spans="1:22" ht="33">
      <c r="A81" s="43" t="s">
        <v>68</v>
      </c>
      <c r="B81" s="28" t="s">
        <v>69</v>
      </c>
      <c r="C81" s="29" t="s">
        <v>14</v>
      </c>
      <c r="D81" s="29" t="s">
        <v>14</v>
      </c>
      <c r="E81" s="29" t="s">
        <v>14</v>
      </c>
      <c r="F81" s="49">
        <f t="shared" ref="F81:U81" si="54">SUM(F83:F87)</f>
        <v>300091.40000000002</v>
      </c>
      <c r="G81" s="49">
        <f t="shared" si="54"/>
        <v>65893.3</v>
      </c>
      <c r="H81" s="49">
        <f t="shared" si="54"/>
        <v>234198.1</v>
      </c>
      <c r="I81" s="49">
        <f t="shared" si="54"/>
        <v>0</v>
      </c>
      <c r="J81" s="49">
        <f t="shared" si="54"/>
        <v>36.700000000000003</v>
      </c>
      <c r="K81" s="49">
        <f t="shared" si="54"/>
        <v>36.700000000000003</v>
      </c>
      <c r="L81" s="49">
        <f t="shared" si="54"/>
        <v>0</v>
      </c>
      <c r="M81" s="49">
        <f t="shared" si="54"/>
        <v>0</v>
      </c>
      <c r="N81" s="49">
        <f t="shared" si="54"/>
        <v>726158.1</v>
      </c>
      <c r="O81" s="49">
        <f t="shared" si="54"/>
        <v>130244</v>
      </c>
      <c r="P81" s="49">
        <f t="shared" si="54"/>
        <v>595914.1</v>
      </c>
      <c r="Q81" s="49">
        <f t="shared" si="54"/>
        <v>0</v>
      </c>
      <c r="R81" s="49">
        <f t="shared" si="54"/>
        <v>204524.2</v>
      </c>
      <c r="S81" s="49">
        <f t="shared" si="54"/>
        <v>186569.3</v>
      </c>
      <c r="T81" s="49">
        <f t="shared" si="54"/>
        <v>17954.900000000001</v>
      </c>
      <c r="U81" s="49">
        <f t="shared" si="54"/>
        <v>0</v>
      </c>
      <c r="V81" s="70">
        <f t="shared" si="43"/>
        <v>0</v>
      </c>
    </row>
    <row r="82" spans="1:22" ht="18.75">
      <c r="A82" s="60"/>
      <c r="B82" s="30" t="s">
        <v>17</v>
      </c>
      <c r="C82" s="31"/>
      <c r="D82" s="31"/>
      <c r="E82" s="31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70"/>
    </row>
    <row r="83" spans="1:22" ht="82.5">
      <c r="A83" s="60"/>
      <c r="B83" s="66" t="s">
        <v>70</v>
      </c>
      <c r="C83" s="31">
        <v>815</v>
      </c>
      <c r="D83" s="33" t="s">
        <v>66</v>
      </c>
      <c r="E83" s="44" t="s">
        <v>249</v>
      </c>
      <c r="F83" s="49">
        <f t="shared" ref="F83:R87" si="55">G83+H83+I83</f>
        <v>212362.3</v>
      </c>
      <c r="G83" s="54">
        <v>6370.9</v>
      </c>
      <c r="H83" s="54">
        <v>205991.4</v>
      </c>
      <c r="I83" s="54"/>
      <c r="J83" s="49">
        <f t="shared" si="55"/>
        <v>0</v>
      </c>
      <c r="K83" s="54"/>
      <c r="L83" s="54"/>
      <c r="M83" s="54"/>
      <c r="N83" s="49">
        <f t="shared" si="55"/>
        <v>550109.6</v>
      </c>
      <c r="O83" s="54">
        <v>16503.3</v>
      </c>
      <c r="P83" s="54">
        <v>533606.30000000005</v>
      </c>
      <c r="Q83" s="54"/>
      <c r="R83" s="49">
        <f t="shared" si="55"/>
        <v>0</v>
      </c>
      <c r="S83" s="54"/>
      <c r="T83" s="54"/>
      <c r="U83" s="54"/>
      <c r="V83" s="73">
        <f t="shared" si="43"/>
        <v>0</v>
      </c>
    </row>
    <row r="84" spans="1:22" ht="49.5">
      <c r="A84" s="60"/>
      <c r="B84" s="34" t="s">
        <v>72</v>
      </c>
      <c r="C84" s="31">
        <v>815</v>
      </c>
      <c r="D84" s="33" t="s">
        <v>66</v>
      </c>
      <c r="E84" s="44" t="s">
        <v>338</v>
      </c>
      <c r="F84" s="49">
        <f t="shared" si="55"/>
        <v>54060</v>
      </c>
      <c r="G84" s="54">
        <v>54060</v>
      </c>
      <c r="H84" s="54"/>
      <c r="I84" s="54"/>
      <c r="J84" s="49">
        <f t="shared" si="55"/>
        <v>26.7</v>
      </c>
      <c r="K84" s="54">
        <f>10.7+32.04-16.02</f>
        <v>26.7</v>
      </c>
      <c r="L84" s="54"/>
      <c r="M84" s="54"/>
      <c r="N84" s="49">
        <f t="shared" si="55"/>
        <v>111813.7</v>
      </c>
      <c r="O84" s="54">
        <v>111813.7</v>
      </c>
      <c r="P84" s="54"/>
      <c r="Q84" s="54"/>
      <c r="R84" s="49">
        <f t="shared" si="55"/>
        <v>186014</v>
      </c>
      <c r="S84" s="54">
        <v>186014</v>
      </c>
      <c r="T84" s="54"/>
      <c r="U84" s="54"/>
      <c r="V84" s="73">
        <f t="shared" si="43"/>
        <v>0</v>
      </c>
    </row>
    <row r="85" spans="1:22" ht="82.5">
      <c r="A85" s="60"/>
      <c r="B85" s="66" t="s">
        <v>70</v>
      </c>
      <c r="C85" s="31">
        <v>816</v>
      </c>
      <c r="D85" s="33" t="s">
        <v>71</v>
      </c>
      <c r="E85" s="44" t="s">
        <v>249</v>
      </c>
      <c r="F85" s="49">
        <f t="shared" si="55"/>
        <v>15814.2</v>
      </c>
      <c r="G85" s="54">
        <v>474.4</v>
      </c>
      <c r="H85" s="54">
        <v>15339.8</v>
      </c>
      <c r="I85" s="54"/>
      <c r="J85" s="49">
        <f t="shared" si="55"/>
        <v>0</v>
      </c>
      <c r="K85" s="54"/>
      <c r="L85" s="54"/>
      <c r="M85" s="54"/>
      <c r="N85" s="49">
        <f t="shared" si="55"/>
        <v>51854.6</v>
      </c>
      <c r="O85" s="54">
        <v>1555.6</v>
      </c>
      <c r="P85" s="54">
        <v>50299</v>
      </c>
      <c r="Q85" s="54"/>
      <c r="R85" s="49">
        <f t="shared" si="55"/>
        <v>0</v>
      </c>
      <c r="S85" s="54"/>
      <c r="T85" s="54"/>
      <c r="U85" s="54"/>
      <c r="V85" s="73">
        <f t="shared" si="43"/>
        <v>0</v>
      </c>
    </row>
    <row r="86" spans="1:22" ht="49.5">
      <c r="A86" s="60"/>
      <c r="B86" s="34" t="s">
        <v>250</v>
      </c>
      <c r="C86" s="31">
        <v>815</v>
      </c>
      <c r="D86" s="33" t="s">
        <v>66</v>
      </c>
      <c r="E86" s="44" t="s">
        <v>251</v>
      </c>
      <c r="F86" s="49">
        <f t="shared" si="55"/>
        <v>13264.9</v>
      </c>
      <c r="G86" s="54">
        <v>398</v>
      </c>
      <c r="H86" s="54">
        <v>12866.9</v>
      </c>
      <c r="I86" s="54"/>
      <c r="J86" s="49">
        <f t="shared" si="55"/>
        <v>0</v>
      </c>
      <c r="K86" s="54"/>
      <c r="L86" s="54"/>
      <c r="M86" s="54"/>
      <c r="N86" s="49">
        <f t="shared" si="55"/>
        <v>12380.2</v>
      </c>
      <c r="O86" s="54">
        <v>371.4</v>
      </c>
      <c r="P86" s="54">
        <v>12008.8</v>
      </c>
      <c r="Q86" s="54"/>
      <c r="R86" s="49">
        <f t="shared" si="55"/>
        <v>18510.2</v>
      </c>
      <c r="S86" s="54">
        <v>555.29999999999995</v>
      </c>
      <c r="T86" s="54">
        <v>17954.900000000001</v>
      </c>
      <c r="U86" s="54"/>
      <c r="V86" s="73">
        <f t="shared" si="43"/>
        <v>0</v>
      </c>
    </row>
    <row r="87" spans="1:22" ht="66">
      <c r="A87" s="60"/>
      <c r="B87" s="34" t="s">
        <v>73</v>
      </c>
      <c r="C87" s="31">
        <v>816</v>
      </c>
      <c r="D87" s="33" t="s">
        <v>71</v>
      </c>
      <c r="E87" s="44" t="s">
        <v>356</v>
      </c>
      <c r="F87" s="49">
        <f t="shared" si="55"/>
        <v>4590</v>
      </c>
      <c r="G87" s="54">
        <v>4590</v>
      </c>
      <c r="H87" s="54"/>
      <c r="I87" s="54"/>
      <c r="J87" s="49">
        <f t="shared" si="55"/>
        <v>10</v>
      </c>
      <c r="K87" s="54">
        <v>10</v>
      </c>
      <c r="L87" s="54"/>
      <c r="M87" s="54"/>
      <c r="N87" s="49">
        <f t="shared" si="55"/>
        <v>0</v>
      </c>
      <c r="O87" s="54"/>
      <c r="P87" s="54"/>
      <c r="Q87" s="54"/>
      <c r="R87" s="49">
        <f t="shared" si="55"/>
        <v>0</v>
      </c>
      <c r="S87" s="54"/>
      <c r="T87" s="54"/>
      <c r="U87" s="54"/>
      <c r="V87" s="73">
        <f t="shared" si="43"/>
        <v>2E-3</v>
      </c>
    </row>
    <row r="88" spans="1:22" ht="33">
      <c r="A88" s="57" t="s">
        <v>74</v>
      </c>
      <c r="B88" s="15" t="s">
        <v>75</v>
      </c>
      <c r="C88" s="6" t="s">
        <v>14</v>
      </c>
      <c r="D88" s="6" t="s">
        <v>14</v>
      </c>
      <c r="E88" s="6" t="s">
        <v>14</v>
      </c>
      <c r="F88" s="51">
        <f>SUM(F90:F95)</f>
        <v>111647.8</v>
      </c>
      <c r="G88" s="49">
        <f>SUM(G90:G95)</f>
        <v>55004.5</v>
      </c>
      <c r="H88" s="49">
        <f t="shared" ref="H88" si="56">SUM(H90:H95)</f>
        <v>56133.3</v>
      </c>
      <c r="I88" s="49">
        <f t="shared" ref="I88:U88" si="57">SUM(I90:I95)</f>
        <v>510</v>
      </c>
      <c r="J88" s="51">
        <f t="shared" si="57"/>
        <v>620.29999999999995</v>
      </c>
      <c r="K88" s="51">
        <f t="shared" si="57"/>
        <v>620.29999999999995</v>
      </c>
      <c r="L88" s="49">
        <f t="shared" si="57"/>
        <v>0</v>
      </c>
      <c r="M88" s="49">
        <f t="shared" si="57"/>
        <v>0</v>
      </c>
      <c r="N88" s="51">
        <f t="shared" si="57"/>
        <v>119500.9</v>
      </c>
      <c r="O88" s="49">
        <f t="shared" si="57"/>
        <v>20996.9</v>
      </c>
      <c r="P88" s="49">
        <f t="shared" si="57"/>
        <v>98474.3</v>
      </c>
      <c r="Q88" s="49">
        <f t="shared" si="57"/>
        <v>29.7</v>
      </c>
      <c r="R88" s="51">
        <f t="shared" si="57"/>
        <v>32309.4</v>
      </c>
      <c r="S88" s="49">
        <f t="shared" si="57"/>
        <v>18202</v>
      </c>
      <c r="T88" s="49">
        <f t="shared" si="57"/>
        <v>14077.7</v>
      </c>
      <c r="U88" s="49">
        <f t="shared" si="57"/>
        <v>29.7</v>
      </c>
      <c r="V88" s="70">
        <f t="shared" si="43"/>
        <v>6.0000000000000001E-3</v>
      </c>
    </row>
    <row r="89" spans="1:22" ht="18.75">
      <c r="A89" s="60"/>
      <c r="B89" s="30" t="s">
        <v>17</v>
      </c>
      <c r="C89" s="31"/>
      <c r="D89" s="31"/>
      <c r="E89" s="31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70"/>
    </row>
    <row r="90" spans="1:22" ht="66">
      <c r="A90" s="60"/>
      <c r="B90" s="34" t="s">
        <v>243</v>
      </c>
      <c r="C90" s="31">
        <v>821</v>
      </c>
      <c r="D90" s="33" t="s">
        <v>21</v>
      </c>
      <c r="E90" s="44" t="s">
        <v>244</v>
      </c>
      <c r="F90" s="49">
        <f t="shared" ref="F90:R95" si="58">G90+H90+I90</f>
        <v>13306.6</v>
      </c>
      <c r="G90" s="54">
        <v>2175.4</v>
      </c>
      <c r="H90" s="54">
        <v>10621.2</v>
      </c>
      <c r="I90" s="54">
        <v>510</v>
      </c>
      <c r="J90" s="49">
        <f t="shared" si="58"/>
        <v>0</v>
      </c>
      <c r="K90" s="54"/>
      <c r="L90" s="54"/>
      <c r="M90" s="54"/>
      <c r="N90" s="49">
        <f t="shared" si="58"/>
        <v>12796.6</v>
      </c>
      <c r="O90" s="54">
        <v>2175.4</v>
      </c>
      <c r="P90" s="54">
        <v>10621.2</v>
      </c>
      <c r="Q90" s="54"/>
      <c r="R90" s="49">
        <f t="shared" si="58"/>
        <v>16181.3</v>
      </c>
      <c r="S90" s="54">
        <v>2103.6</v>
      </c>
      <c r="T90" s="54">
        <v>14077.7</v>
      </c>
      <c r="U90" s="54"/>
      <c r="V90" s="73">
        <f t="shared" si="43"/>
        <v>0</v>
      </c>
    </row>
    <row r="91" spans="1:22" ht="82.5">
      <c r="A91" s="60"/>
      <c r="B91" s="34" t="s">
        <v>248</v>
      </c>
      <c r="C91" s="31">
        <v>815</v>
      </c>
      <c r="D91" s="33" t="s">
        <v>66</v>
      </c>
      <c r="E91" s="44" t="s">
        <v>247</v>
      </c>
      <c r="F91" s="49">
        <f t="shared" si="58"/>
        <v>31296.1</v>
      </c>
      <c r="G91" s="54">
        <f>782.2+1310.3+117.4</f>
        <v>2209.9</v>
      </c>
      <c r="H91" s="54">
        <f>25290.2+3796</f>
        <v>29086.2</v>
      </c>
      <c r="I91" s="54"/>
      <c r="J91" s="49">
        <f t="shared" si="58"/>
        <v>0</v>
      </c>
      <c r="K91" s="54"/>
      <c r="L91" s="54"/>
      <c r="M91" s="54"/>
      <c r="N91" s="49">
        <f t="shared" si="58"/>
        <v>90599.9</v>
      </c>
      <c r="O91" s="54">
        <f>2712.2+4.86</f>
        <v>2717.1</v>
      </c>
      <c r="P91" s="54">
        <f>87696+157.14</f>
        <v>87853.1</v>
      </c>
      <c r="Q91" s="54">
        <v>29.7</v>
      </c>
      <c r="R91" s="49">
        <f t="shared" si="58"/>
        <v>29.7</v>
      </c>
      <c r="S91" s="54"/>
      <c r="T91" s="54"/>
      <c r="U91" s="54">
        <v>29.7</v>
      </c>
      <c r="V91" s="73">
        <f t="shared" si="43"/>
        <v>0</v>
      </c>
    </row>
    <row r="92" spans="1:22" ht="49.5">
      <c r="A92" s="60"/>
      <c r="B92" s="34" t="s">
        <v>76</v>
      </c>
      <c r="C92" s="31">
        <v>815</v>
      </c>
      <c r="D92" s="33" t="s">
        <v>66</v>
      </c>
      <c r="E92" s="44" t="s">
        <v>346</v>
      </c>
      <c r="F92" s="49">
        <f t="shared" si="58"/>
        <v>10000</v>
      </c>
      <c r="G92" s="54">
        <v>10000</v>
      </c>
      <c r="H92" s="54"/>
      <c r="I92" s="54"/>
      <c r="J92" s="49">
        <f t="shared" si="58"/>
        <v>0</v>
      </c>
      <c r="K92" s="54"/>
      <c r="L92" s="54"/>
      <c r="M92" s="54"/>
      <c r="N92" s="49">
        <f t="shared" si="58"/>
        <v>0</v>
      </c>
      <c r="O92" s="54"/>
      <c r="P92" s="54"/>
      <c r="Q92" s="54"/>
      <c r="R92" s="49">
        <f t="shared" si="58"/>
        <v>0</v>
      </c>
      <c r="S92" s="54"/>
      <c r="T92" s="54"/>
      <c r="U92" s="54"/>
      <c r="V92" s="73">
        <f t="shared" si="43"/>
        <v>0</v>
      </c>
    </row>
    <row r="93" spans="1:22" ht="82.5">
      <c r="A93" s="60"/>
      <c r="B93" s="34" t="s">
        <v>77</v>
      </c>
      <c r="C93" s="31">
        <v>815</v>
      </c>
      <c r="D93" s="33" t="s">
        <v>66</v>
      </c>
      <c r="E93" s="39" t="s">
        <v>347</v>
      </c>
      <c r="F93" s="49">
        <f t="shared" si="58"/>
        <v>19936.3</v>
      </c>
      <c r="G93" s="54">
        <v>19936.3</v>
      </c>
      <c r="H93" s="54"/>
      <c r="I93" s="54"/>
      <c r="J93" s="49">
        <f t="shared" si="58"/>
        <v>620.29999999999995</v>
      </c>
      <c r="K93" s="54">
        <f>303.4+316.91</f>
        <v>620.29999999999995</v>
      </c>
      <c r="L93" s="54"/>
      <c r="M93" s="54"/>
      <c r="N93" s="49">
        <f t="shared" si="58"/>
        <v>0</v>
      </c>
      <c r="O93" s="54"/>
      <c r="P93" s="54"/>
      <c r="Q93" s="54"/>
      <c r="R93" s="49">
        <f t="shared" si="58"/>
        <v>0</v>
      </c>
      <c r="S93" s="54"/>
      <c r="T93" s="54"/>
      <c r="U93" s="54"/>
      <c r="V93" s="73">
        <f t="shared" si="43"/>
        <v>3.1E-2</v>
      </c>
    </row>
    <row r="94" spans="1:22" ht="66">
      <c r="A94" s="60"/>
      <c r="B94" s="34" t="s">
        <v>345</v>
      </c>
      <c r="C94" s="31">
        <v>815</v>
      </c>
      <c r="D94" s="33" t="s">
        <v>66</v>
      </c>
      <c r="E94" s="39" t="s">
        <v>344</v>
      </c>
      <c r="F94" s="49">
        <f t="shared" si="58"/>
        <v>5020.5</v>
      </c>
      <c r="G94" s="54">
        <v>5020.5</v>
      </c>
      <c r="H94" s="54"/>
      <c r="I94" s="54"/>
      <c r="J94" s="49">
        <f t="shared" si="58"/>
        <v>0</v>
      </c>
      <c r="K94" s="54"/>
      <c r="L94" s="54"/>
      <c r="M94" s="54"/>
      <c r="N94" s="49">
        <f t="shared" si="58"/>
        <v>0</v>
      </c>
      <c r="O94" s="54"/>
      <c r="P94" s="54"/>
      <c r="Q94" s="54"/>
      <c r="R94" s="49">
        <f t="shared" si="58"/>
        <v>0</v>
      </c>
      <c r="S94" s="54"/>
      <c r="T94" s="54"/>
      <c r="U94" s="54"/>
      <c r="V94" s="73">
        <f t="shared" si="43"/>
        <v>0</v>
      </c>
    </row>
    <row r="95" spans="1:22" ht="49.5">
      <c r="A95" s="60"/>
      <c r="B95" s="34" t="s">
        <v>246</v>
      </c>
      <c r="C95" s="31">
        <v>815</v>
      </c>
      <c r="D95" s="33" t="s">
        <v>66</v>
      </c>
      <c r="E95" s="39" t="s">
        <v>245</v>
      </c>
      <c r="F95" s="49">
        <f t="shared" si="58"/>
        <v>32088.3</v>
      </c>
      <c r="G95" s="54">
        <v>15662.4</v>
      </c>
      <c r="H95" s="54">
        <v>16425.900000000001</v>
      </c>
      <c r="I95" s="54"/>
      <c r="J95" s="49">
        <f t="shared" si="58"/>
        <v>0</v>
      </c>
      <c r="K95" s="54"/>
      <c r="L95" s="54"/>
      <c r="M95" s="54"/>
      <c r="N95" s="49">
        <f t="shared" si="58"/>
        <v>16104.4</v>
      </c>
      <c r="O95" s="54">
        <v>16104.4</v>
      </c>
      <c r="P95" s="54"/>
      <c r="Q95" s="54"/>
      <c r="R95" s="49">
        <f t="shared" si="58"/>
        <v>16098.4</v>
      </c>
      <c r="S95" s="54">
        <v>16098.4</v>
      </c>
      <c r="T95" s="54"/>
      <c r="U95" s="54"/>
      <c r="V95" s="73">
        <f t="shared" si="43"/>
        <v>0</v>
      </c>
    </row>
    <row r="96" spans="1:22" ht="66">
      <c r="A96" s="57" t="s">
        <v>78</v>
      </c>
      <c r="B96" s="15" t="s">
        <v>79</v>
      </c>
      <c r="C96" s="6" t="s">
        <v>14</v>
      </c>
      <c r="D96" s="6" t="s">
        <v>14</v>
      </c>
      <c r="E96" s="6" t="s">
        <v>14</v>
      </c>
      <c r="F96" s="51">
        <f>SUM(F98:F103)</f>
        <v>74810</v>
      </c>
      <c r="G96" s="49">
        <f>SUM(G98:G103)</f>
        <v>74810</v>
      </c>
      <c r="H96" s="49">
        <f t="shared" ref="H96" si="59">SUM(H98:H103)</f>
        <v>0</v>
      </c>
      <c r="I96" s="49">
        <f t="shared" ref="I96:U96" si="60">SUM(I98:I103)</f>
        <v>0</v>
      </c>
      <c r="J96" s="51">
        <f t="shared" si="60"/>
        <v>9400</v>
      </c>
      <c r="K96" s="51">
        <f t="shared" si="60"/>
        <v>9400</v>
      </c>
      <c r="L96" s="49">
        <f t="shared" si="60"/>
        <v>0</v>
      </c>
      <c r="M96" s="49">
        <f t="shared" si="60"/>
        <v>0</v>
      </c>
      <c r="N96" s="51">
        <f t="shared" si="60"/>
        <v>67320</v>
      </c>
      <c r="O96" s="49">
        <f t="shared" si="60"/>
        <v>67320</v>
      </c>
      <c r="P96" s="49">
        <f t="shared" si="60"/>
        <v>0</v>
      </c>
      <c r="Q96" s="49">
        <f t="shared" si="60"/>
        <v>0</v>
      </c>
      <c r="R96" s="51">
        <f t="shared" si="60"/>
        <v>67320</v>
      </c>
      <c r="S96" s="49">
        <f t="shared" si="60"/>
        <v>67320</v>
      </c>
      <c r="T96" s="49">
        <f t="shared" si="60"/>
        <v>0</v>
      </c>
      <c r="U96" s="49">
        <f t="shared" si="60"/>
        <v>0</v>
      </c>
      <c r="V96" s="70">
        <f t="shared" si="43"/>
        <v>0.126</v>
      </c>
    </row>
    <row r="97" spans="1:22" ht="18.75">
      <c r="A97" s="58"/>
      <c r="B97" s="16" t="s">
        <v>17</v>
      </c>
      <c r="C97" s="7"/>
      <c r="D97" s="7"/>
      <c r="E97" s="7"/>
      <c r="F97" s="51"/>
      <c r="G97" s="49"/>
      <c r="H97" s="49"/>
      <c r="I97" s="49"/>
      <c r="J97" s="51"/>
      <c r="K97" s="51"/>
      <c r="L97" s="49"/>
      <c r="M97" s="49"/>
      <c r="N97" s="51"/>
      <c r="O97" s="49"/>
      <c r="P97" s="49"/>
      <c r="Q97" s="49"/>
      <c r="R97" s="51"/>
      <c r="S97" s="49"/>
      <c r="T97" s="49"/>
      <c r="U97" s="49"/>
      <c r="V97" s="70"/>
    </row>
    <row r="98" spans="1:22" ht="99">
      <c r="A98" s="60"/>
      <c r="B98" s="32" t="s">
        <v>350</v>
      </c>
      <c r="C98" s="31">
        <v>816</v>
      </c>
      <c r="D98" s="33" t="s">
        <v>71</v>
      </c>
      <c r="E98" s="31" t="s">
        <v>349</v>
      </c>
      <c r="F98" s="49">
        <f t="shared" ref="F98:R103" si="61">G98+H98+I98</f>
        <v>16630</v>
      </c>
      <c r="G98" s="54">
        <v>16630</v>
      </c>
      <c r="H98" s="54"/>
      <c r="I98" s="54"/>
      <c r="J98" s="49">
        <f t="shared" si="61"/>
        <v>0</v>
      </c>
      <c r="K98" s="54"/>
      <c r="L98" s="54"/>
      <c r="M98" s="54"/>
      <c r="N98" s="49">
        <f t="shared" si="61"/>
        <v>22180</v>
      </c>
      <c r="O98" s="54">
        <v>22180</v>
      </c>
      <c r="P98" s="54"/>
      <c r="Q98" s="54"/>
      <c r="R98" s="49">
        <f t="shared" si="61"/>
        <v>22180</v>
      </c>
      <c r="S98" s="54">
        <v>22180</v>
      </c>
      <c r="T98" s="54"/>
      <c r="U98" s="54"/>
      <c r="V98" s="73">
        <f t="shared" si="43"/>
        <v>0</v>
      </c>
    </row>
    <row r="99" spans="1:22" ht="66">
      <c r="A99" s="60"/>
      <c r="B99" s="34" t="s">
        <v>81</v>
      </c>
      <c r="C99" s="31">
        <v>816</v>
      </c>
      <c r="D99" s="33" t="s">
        <v>71</v>
      </c>
      <c r="E99" s="44" t="s">
        <v>357</v>
      </c>
      <c r="F99" s="49">
        <f t="shared" si="61"/>
        <v>45240</v>
      </c>
      <c r="G99" s="54">
        <v>45240</v>
      </c>
      <c r="H99" s="54"/>
      <c r="I99" s="54"/>
      <c r="J99" s="49">
        <f t="shared" si="61"/>
        <v>9400</v>
      </c>
      <c r="K99" s="54">
        <f>5600+3800</f>
        <v>9400</v>
      </c>
      <c r="L99" s="54"/>
      <c r="M99" s="54"/>
      <c r="N99" s="49">
        <f t="shared" si="61"/>
        <v>33000</v>
      </c>
      <c r="O99" s="54">
        <v>33000</v>
      </c>
      <c r="P99" s="54"/>
      <c r="Q99" s="54"/>
      <c r="R99" s="49">
        <f t="shared" si="61"/>
        <v>33000</v>
      </c>
      <c r="S99" s="54">
        <v>33000</v>
      </c>
      <c r="T99" s="54"/>
      <c r="U99" s="54"/>
      <c r="V99" s="73">
        <f t="shared" si="43"/>
        <v>0.20799999999999999</v>
      </c>
    </row>
    <row r="100" spans="1:22" ht="99">
      <c r="A100" s="60"/>
      <c r="B100" s="34" t="s">
        <v>80</v>
      </c>
      <c r="C100" s="31">
        <v>816</v>
      </c>
      <c r="D100" s="33" t="s">
        <v>71</v>
      </c>
      <c r="E100" s="44" t="s">
        <v>351</v>
      </c>
      <c r="F100" s="49">
        <f t="shared" si="61"/>
        <v>1450</v>
      </c>
      <c r="G100" s="54">
        <v>1450</v>
      </c>
      <c r="H100" s="54"/>
      <c r="I100" s="54"/>
      <c r="J100" s="49">
        <f t="shared" si="61"/>
        <v>0</v>
      </c>
      <c r="K100" s="54"/>
      <c r="L100" s="54"/>
      <c r="M100" s="54"/>
      <c r="N100" s="49">
        <f t="shared" si="61"/>
        <v>0</v>
      </c>
      <c r="O100" s="54"/>
      <c r="P100" s="54"/>
      <c r="Q100" s="54"/>
      <c r="R100" s="49">
        <f t="shared" si="61"/>
        <v>0</v>
      </c>
      <c r="S100" s="54"/>
      <c r="T100" s="54"/>
      <c r="U100" s="54"/>
      <c r="V100" s="73">
        <f t="shared" si="43"/>
        <v>0</v>
      </c>
    </row>
    <row r="101" spans="1:22" ht="82.5">
      <c r="A101" s="60"/>
      <c r="B101" s="34" t="s">
        <v>82</v>
      </c>
      <c r="C101" s="31">
        <v>816</v>
      </c>
      <c r="D101" s="33" t="s">
        <v>71</v>
      </c>
      <c r="E101" s="44" t="s">
        <v>352</v>
      </c>
      <c r="F101" s="49">
        <f t="shared" si="61"/>
        <v>5620</v>
      </c>
      <c r="G101" s="54">
        <v>5620</v>
      </c>
      <c r="H101" s="54"/>
      <c r="I101" s="54"/>
      <c r="J101" s="49">
        <f t="shared" si="61"/>
        <v>0</v>
      </c>
      <c r="K101" s="54"/>
      <c r="L101" s="54"/>
      <c r="M101" s="54"/>
      <c r="N101" s="49">
        <f t="shared" si="61"/>
        <v>5620</v>
      </c>
      <c r="O101" s="54">
        <v>5620</v>
      </c>
      <c r="P101" s="54"/>
      <c r="Q101" s="54"/>
      <c r="R101" s="49">
        <f t="shared" si="61"/>
        <v>5620</v>
      </c>
      <c r="S101" s="54">
        <v>5620</v>
      </c>
      <c r="T101" s="54"/>
      <c r="U101" s="54"/>
      <c r="V101" s="73">
        <f t="shared" si="43"/>
        <v>0</v>
      </c>
    </row>
    <row r="102" spans="1:22" ht="115.5">
      <c r="A102" s="60"/>
      <c r="B102" s="34" t="s">
        <v>83</v>
      </c>
      <c r="C102" s="31">
        <v>816</v>
      </c>
      <c r="D102" s="33" t="s">
        <v>71</v>
      </c>
      <c r="E102" s="44" t="s">
        <v>348</v>
      </c>
      <c r="F102" s="49">
        <f t="shared" si="61"/>
        <v>20</v>
      </c>
      <c r="G102" s="54">
        <v>20</v>
      </c>
      <c r="H102" s="54"/>
      <c r="I102" s="54"/>
      <c r="J102" s="49">
        <f t="shared" si="61"/>
        <v>0</v>
      </c>
      <c r="K102" s="54"/>
      <c r="L102" s="54"/>
      <c r="M102" s="54"/>
      <c r="N102" s="49">
        <f t="shared" si="61"/>
        <v>20</v>
      </c>
      <c r="O102" s="54">
        <v>20</v>
      </c>
      <c r="P102" s="54"/>
      <c r="Q102" s="54"/>
      <c r="R102" s="49">
        <f t="shared" si="61"/>
        <v>20</v>
      </c>
      <c r="S102" s="54">
        <v>20</v>
      </c>
      <c r="T102" s="54"/>
      <c r="U102" s="54"/>
      <c r="V102" s="73">
        <f t="shared" si="43"/>
        <v>0</v>
      </c>
    </row>
    <row r="103" spans="1:22" ht="66">
      <c r="A103" s="60"/>
      <c r="B103" s="34" t="s">
        <v>84</v>
      </c>
      <c r="C103" s="31">
        <v>816</v>
      </c>
      <c r="D103" s="33" t="s">
        <v>71</v>
      </c>
      <c r="E103" s="44" t="s">
        <v>353</v>
      </c>
      <c r="F103" s="49">
        <f t="shared" si="61"/>
        <v>5850</v>
      </c>
      <c r="G103" s="54">
        <v>5850</v>
      </c>
      <c r="H103" s="54"/>
      <c r="I103" s="54"/>
      <c r="J103" s="49">
        <f t="shared" si="61"/>
        <v>0</v>
      </c>
      <c r="K103" s="54"/>
      <c r="L103" s="54"/>
      <c r="M103" s="54"/>
      <c r="N103" s="49">
        <f t="shared" si="61"/>
        <v>6500</v>
      </c>
      <c r="O103" s="54">
        <v>6500</v>
      </c>
      <c r="P103" s="54"/>
      <c r="Q103" s="54"/>
      <c r="R103" s="49">
        <f t="shared" si="61"/>
        <v>6500</v>
      </c>
      <c r="S103" s="54">
        <v>6500</v>
      </c>
      <c r="T103" s="54"/>
      <c r="U103" s="54"/>
      <c r="V103" s="73">
        <f t="shared" si="43"/>
        <v>0</v>
      </c>
    </row>
    <row r="104" spans="1:22" ht="33">
      <c r="A104" s="57" t="s">
        <v>85</v>
      </c>
      <c r="B104" s="15" t="s">
        <v>86</v>
      </c>
      <c r="C104" s="6" t="s">
        <v>14</v>
      </c>
      <c r="D104" s="6" t="s">
        <v>14</v>
      </c>
      <c r="E104" s="6" t="s">
        <v>14</v>
      </c>
      <c r="F104" s="51">
        <f t="shared" ref="F104:U104" si="62">F106</f>
        <v>1700</v>
      </c>
      <c r="G104" s="49">
        <f t="shared" si="62"/>
        <v>1700</v>
      </c>
      <c r="H104" s="49">
        <f t="shared" ref="H104" si="63">H106</f>
        <v>0</v>
      </c>
      <c r="I104" s="49">
        <f t="shared" si="62"/>
        <v>0</v>
      </c>
      <c r="J104" s="51">
        <f t="shared" si="62"/>
        <v>4.0999999999999996</v>
      </c>
      <c r="K104" s="51">
        <f t="shared" si="62"/>
        <v>4.0999999999999996</v>
      </c>
      <c r="L104" s="49">
        <f t="shared" si="62"/>
        <v>0</v>
      </c>
      <c r="M104" s="49">
        <f t="shared" si="62"/>
        <v>0</v>
      </c>
      <c r="N104" s="51">
        <f t="shared" si="62"/>
        <v>0</v>
      </c>
      <c r="O104" s="49">
        <f t="shared" si="62"/>
        <v>0</v>
      </c>
      <c r="P104" s="49">
        <f t="shared" si="62"/>
        <v>0</v>
      </c>
      <c r="Q104" s="49">
        <f t="shared" si="62"/>
        <v>0</v>
      </c>
      <c r="R104" s="51">
        <f t="shared" si="62"/>
        <v>0</v>
      </c>
      <c r="S104" s="49">
        <f t="shared" si="62"/>
        <v>0</v>
      </c>
      <c r="T104" s="49">
        <f t="shared" si="62"/>
        <v>0</v>
      </c>
      <c r="U104" s="49">
        <f t="shared" si="62"/>
        <v>0</v>
      </c>
      <c r="V104" s="70">
        <f t="shared" si="43"/>
        <v>2E-3</v>
      </c>
    </row>
    <row r="105" spans="1:22" ht="18.75">
      <c r="A105" s="57"/>
      <c r="B105" s="18" t="s">
        <v>17</v>
      </c>
      <c r="C105" s="6"/>
      <c r="D105" s="6"/>
      <c r="E105" s="6"/>
      <c r="F105" s="51"/>
      <c r="G105" s="49"/>
      <c r="H105" s="49"/>
      <c r="I105" s="49"/>
      <c r="J105" s="51"/>
      <c r="K105" s="51"/>
      <c r="L105" s="49"/>
      <c r="M105" s="49"/>
      <c r="N105" s="51"/>
      <c r="O105" s="49"/>
      <c r="P105" s="49"/>
      <c r="Q105" s="49"/>
      <c r="R105" s="51"/>
      <c r="S105" s="49"/>
      <c r="T105" s="49"/>
      <c r="U105" s="49"/>
      <c r="V105" s="70"/>
    </row>
    <row r="106" spans="1:22" ht="49.5">
      <c r="A106" s="58"/>
      <c r="B106" s="17" t="s">
        <v>87</v>
      </c>
      <c r="C106" s="7">
        <v>815</v>
      </c>
      <c r="D106" s="8" t="s">
        <v>66</v>
      </c>
      <c r="E106" s="10" t="s">
        <v>340</v>
      </c>
      <c r="F106" s="51">
        <f t="shared" ref="F106:R106" si="64">G106+H106+I106</f>
        <v>1700</v>
      </c>
      <c r="G106" s="54">
        <v>1700</v>
      </c>
      <c r="H106" s="54"/>
      <c r="I106" s="54"/>
      <c r="J106" s="51">
        <f t="shared" si="64"/>
        <v>4.0999999999999996</v>
      </c>
      <c r="K106" s="55">
        <v>4.0999999999999996</v>
      </c>
      <c r="L106" s="54"/>
      <c r="M106" s="54"/>
      <c r="N106" s="51">
        <f t="shared" si="64"/>
        <v>0</v>
      </c>
      <c r="O106" s="54"/>
      <c r="P106" s="54"/>
      <c r="Q106" s="54"/>
      <c r="R106" s="51">
        <f t="shared" si="64"/>
        <v>0</v>
      </c>
      <c r="S106" s="54"/>
      <c r="T106" s="54"/>
      <c r="U106" s="54"/>
      <c r="V106" s="73">
        <f t="shared" si="43"/>
        <v>2E-3</v>
      </c>
    </row>
    <row r="107" spans="1:22" ht="33">
      <c r="A107" s="57" t="s">
        <v>169</v>
      </c>
      <c r="B107" s="15" t="s">
        <v>170</v>
      </c>
      <c r="C107" s="6" t="s">
        <v>14</v>
      </c>
      <c r="D107" s="6" t="s">
        <v>14</v>
      </c>
      <c r="E107" s="6" t="s">
        <v>14</v>
      </c>
      <c r="F107" s="51">
        <f t="shared" ref="F107:U107" si="65">SUM(F109)</f>
        <v>100</v>
      </c>
      <c r="G107" s="49">
        <f t="shared" si="65"/>
        <v>100</v>
      </c>
      <c r="H107" s="49">
        <f t="shared" ref="H107" si="66">SUM(H109)</f>
        <v>0</v>
      </c>
      <c r="I107" s="49">
        <f t="shared" si="65"/>
        <v>0</v>
      </c>
      <c r="J107" s="51">
        <f t="shared" si="65"/>
        <v>0</v>
      </c>
      <c r="K107" s="51">
        <f t="shared" si="65"/>
        <v>0</v>
      </c>
      <c r="L107" s="49">
        <f t="shared" si="65"/>
        <v>0</v>
      </c>
      <c r="M107" s="49">
        <f t="shared" si="65"/>
        <v>0</v>
      </c>
      <c r="N107" s="51">
        <f t="shared" si="65"/>
        <v>0</v>
      </c>
      <c r="O107" s="49">
        <f t="shared" si="65"/>
        <v>0</v>
      </c>
      <c r="P107" s="49">
        <f t="shared" si="65"/>
        <v>0</v>
      </c>
      <c r="Q107" s="49">
        <f t="shared" si="65"/>
        <v>0</v>
      </c>
      <c r="R107" s="51">
        <f t="shared" si="65"/>
        <v>0</v>
      </c>
      <c r="S107" s="49">
        <f t="shared" si="65"/>
        <v>0</v>
      </c>
      <c r="T107" s="49">
        <f t="shared" si="65"/>
        <v>0</v>
      </c>
      <c r="U107" s="49">
        <f t="shared" si="65"/>
        <v>0</v>
      </c>
      <c r="V107" s="70">
        <f t="shared" si="43"/>
        <v>0</v>
      </c>
    </row>
    <row r="108" spans="1:22" ht="18.75">
      <c r="A108" s="57"/>
      <c r="B108" s="18" t="s">
        <v>17</v>
      </c>
      <c r="C108" s="6"/>
      <c r="D108" s="6"/>
      <c r="E108" s="6"/>
      <c r="F108" s="51"/>
      <c r="G108" s="49"/>
      <c r="H108" s="49"/>
      <c r="I108" s="49"/>
      <c r="J108" s="51"/>
      <c r="K108" s="51"/>
      <c r="L108" s="49"/>
      <c r="M108" s="49"/>
      <c r="N108" s="51"/>
      <c r="O108" s="49"/>
      <c r="P108" s="49"/>
      <c r="Q108" s="49"/>
      <c r="R108" s="51"/>
      <c r="S108" s="49"/>
      <c r="T108" s="49"/>
      <c r="U108" s="49"/>
      <c r="V108" s="70"/>
    </row>
    <row r="109" spans="1:22" ht="82.5">
      <c r="A109" s="58"/>
      <c r="B109" s="17" t="s">
        <v>171</v>
      </c>
      <c r="C109" s="7">
        <v>815</v>
      </c>
      <c r="D109" s="8" t="s">
        <v>66</v>
      </c>
      <c r="E109" s="10" t="s">
        <v>339</v>
      </c>
      <c r="F109" s="51">
        <f t="shared" ref="F109:R109" si="67">G109+H109+I109</f>
        <v>100</v>
      </c>
      <c r="G109" s="54">
        <v>100</v>
      </c>
      <c r="H109" s="54"/>
      <c r="I109" s="54"/>
      <c r="J109" s="51">
        <f t="shared" si="67"/>
        <v>0</v>
      </c>
      <c r="K109" s="55"/>
      <c r="L109" s="54"/>
      <c r="M109" s="54"/>
      <c r="N109" s="51">
        <f t="shared" si="67"/>
        <v>0</v>
      </c>
      <c r="O109" s="54"/>
      <c r="P109" s="54"/>
      <c r="Q109" s="54"/>
      <c r="R109" s="51">
        <f t="shared" si="67"/>
        <v>0</v>
      </c>
      <c r="S109" s="54"/>
      <c r="T109" s="54"/>
      <c r="U109" s="54"/>
      <c r="V109" s="73">
        <f t="shared" si="43"/>
        <v>0</v>
      </c>
    </row>
    <row r="110" spans="1:22" ht="33">
      <c r="A110" s="57" t="s">
        <v>228</v>
      </c>
      <c r="B110" s="15" t="s">
        <v>227</v>
      </c>
      <c r="C110" s="6" t="s">
        <v>14</v>
      </c>
      <c r="D110" s="6" t="s">
        <v>14</v>
      </c>
      <c r="E110" s="6" t="s">
        <v>14</v>
      </c>
      <c r="F110" s="51">
        <f t="shared" ref="F110:U110" si="68">SUM(F112)</f>
        <v>8230</v>
      </c>
      <c r="G110" s="49">
        <f t="shared" si="68"/>
        <v>246.9</v>
      </c>
      <c r="H110" s="49">
        <f t="shared" ref="H110" si="69">SUM(H112)</f>
        <v>7983.1</v>
      </c>
      <c r="I110" s="49">
        <f t="shared" si="68"/>
        <v>0</v>
      </c>
      <c r="J110" s="51">
        <f t="shared" si="68"/>
        <v>0</v>
      </c>
      <c r="K110" s="51">
        <f t="shared" si="68"/>
        <v>0</v>
      </c>
      <c r="L110" s="49">
        <f t="shared" si="68"/>
        <v>0</v>
      </c>
      <c r="M110" s="49">
        <f t="shared" si="68"/>
        <v>0</v>
      </c>
      <c r="N110" s="51">
        <f t="shared" si="68"/>
        <v>0</v>
      </c>
      <c r="O110" s="49">
        <f t="shared" si="68"/>
        <v>0</v>
      </c>
      <c r="P110" s="49">
        <f t="shared" si="68"/>
        <v>0</v>
      </c>
      <c r="Q110" s="49">
        <f t="shared" si="68"/>
        <v>0</v>
      </c>
      <c r="R110" s="51">
        <f t="shared" si="68"/>
        <v>0</v>
      </c>
      <c r="S110" s="49">
        <f t="shared" si="68"/>
        <v>0</v>
      </c>
      <c r="T110" s="49">
        <f t="shared" si="68"/>
        <v>0</v>
      </c>
      <c r="U110" s="49">
        <f t="shared" si="68"/>
        <v>0</v>
      </c>
      <c r="V110" s="70">
        <f t="shared" si="43"/>
        <v>0</v>
      </c>
    </row>
    <row r="111" spans="1:22" ht="18.75">
      <c r="A111" s="57"/>
      <c r="B111" s="18" t="s">
        <v>17</v>
      </c>
      <c r="C111" s="6"/>
      <c r="D111" s="6"/>
      <c r="E111" s="6"/>
      <c r="F111" s="51"/>
      <c r="G111" s="49"/>
      <c r="H111" s="49"/>
      <c r="I111" s="49"/>
      <c r="J111" s="51"/>
      <c r="K111" s="51"/>
      <c r="L111" s="49"/>
      <c r="M111" s="49"/>
      <c r="N111" s="51"/>
      <c r="O111" s="49"/>
      <c r="P111" s="49"/>
      <c r="Q111" s="49"/>
      <c r="R111" s="51"/>
      <c r="S111" s="49"/>
      <c r="T111" s="49"/>
      <c r="U111" s="49"/>
      <c r="V111" s="70"/>
    </row>
    <row r="112" spans="1:22" ht="82.5">
      <c r="A112" s="57"/>
      <c r="B112" s="18" t="s">
        <v>229</v>
      </c>
      <c r="C112" s="7">
        <v>813</v>
      </c>
      <c r="D112" s="8" t="s">
        <v>26</v>
      </c>
      <c r="E112" s="7" t="s">
        <v>230</v>
      </c>
      <c r="F112" s="51">
        <f t="shared" ref="F112:R112" si="70">G112+H112+I112</f>
        <v>8230</v>
      </c>
      <c r="G112" s="54">
        <v>246.9</v>
      </c>
      <c r="H112" s="54">
        <v>7983.1</v>
      </c>
      <c r="I112" s="54"/>
      <c r="J112" s="51">
        <f t="shared" si="70"/>
        <v>0</v>
      </c>
      <c r="K112" s="55"/>
      <c r="L112" s="54"/>
      <c r="M112" s="54"/>
      <c r="N112" s="51">
        <f t="shared" si="70"/>
        <v>0</v>
      </c>
      <c r="O112" s="54"/>
      <c r="P112" s="54"/>
      <c r="Q112" s="54"/>
      <c r="R112" s="51">
        <f t="shared" si="70"/>
        <v>0</v>
      </c>
      <c r="S112" s="54"/>
      <c r="T112" s="54"/>
      <c r="U112" s="54"/>
      <c r="V112" s="73">
        <f t="shared" si="43"/>
        <v>0</v>
      </c>
    </row>
    <row r="113" spans="1:22" ht="33">
      <c r="A113" s="59" t="s">
        <v>88</v>
      </c>
      <c r="B113" s="22" t="s">
        <v>89</v>
      </c>
      <c r="C113" s="1" t="s">
        <v>14</v>
      </c>
      <c r="D113" s="1" t="s">
        <v>14</v>
      </c>
      <c r="E113" s="1" t="s">
        <v>14</v>
      </c>
      <c r="F113" s="48">
        <f>F114+F117+F122</f>
        <v>67695.7</v>
      </c>
      <c r="G113" s="48">
        <f t="shared" ref="G113:V113" si="71">G114+G117+G122</f>
        <v>60895.3</v>
      </c>
      <c r="H113" s="48">
        <f t="shared" si="71"/>
        <v>6800.4</v>
      </c>
      <c r="I113" s="48">
        <f t="shared" si="71"/>
        <v>0</v>
      </c>
      <c r="J113" s="48">
        <f t="shared" si="71"/>
        <v>5072.3999999999996</v>
      </c>
      <c r="K113" s="48">
        <f t="shared" si="71"/>
        <v>5072.3999999999996</v>
      </c>
      <c r="L113" s="48">
        <f t="shared" si="71"/>
        <v>0</v>
      </c>
      <c r="M113" s="48">
        <f t="shared" si="71"/>
        <v>0</v>
      </c>
      <c r="N113" s="48">
        <f t="shared" si="71"/>
        <v>29255.200000000001</v>
      </c>
      <c r="O113" s="48">
        <f t="shared" si="71"/>
        <v>25074.3</v>
      </c>
      <c r="P113" s="48">
        <f t="shared" si="71"/>
        <v>4180.8999999999996</v>
      </c>
      <c r="Q113" s="48">
        <f t="shared" si="71"/>
        <v>0</v>
      </c>
      <c r="R113" s="48">
        <f t="shared" si="71"/>
        <v>24945</v>
      </c>
      <c r="S113" s="48">
        <f t="shared" si="71"/>
        <v>24945</v>
      </c>
      <c r="T113" s="48">
        <f t="shared" si="71"/>
        <v>0</v>
      </c>
      <c r="U113" s="48">
        <f t="shared" si="71"/>
        <v>0</v>
      </c>
      <c r="V113" s="69">
        <f t="shared" si="71"/>
        <v>0.503</v>
      </c>
    </row>
    <row r="114" spans="1:22" ht="33">
      <c r="A114" s="43" t="s">
        <v>90</v>
      </c>
      <c r="B114" s="28" t="s">
        <v>92</v>
      </c>
      <c r="C114" s="29" t="s">
        <v>14</v>
      </c>
      <c r="D114" s="29" t="s">
        <v>14</v>
      </c>
      <c r="E114" s="29" t="s">
        <v>14</v>
      </c>
      <c r="F114" s="49">
        <f t="shared" ref="F114:U114" si="72">SUM(F116:F116)</f>
        <v>25000</v>
      </c>
      <c r="G114" s="49">
        <f t="shared" si="72"/>
        <v>25000</v>
      </c>
      <c r="H114" s="49">
        <f t="shared" si="72"/>
        <v>0</v>
      </c>
      <c r="I114" s="49">
        <f t="shared" si="72"/>
        <v>0</v>
      </c>
      <c r="J114" s="49">
        <f t="shared" si="72"/>
        <v>1501.5</v>
      </c>
      <c r="K114" s="49">
        <f t="shared" si="72"/>
        <v>1501.5</v>
      </c>
      <c r="L114" s="49">
        <f t="shared" si="72"/>
        <v>0</v>
      </c>
      <c r="M114" s="49">
        <f t="shared" si="72"/>
        <v>0</v>
      </c>
      <c r="N114" s="49">
        <f t="shared" si="72"/>
        <v>0</v>
      </c>
      <c r="O114" s="49">
        <f t="shared" si="72"/>
        <v>0</v>
      </c>
      <c r="P114" s="49">
        <f t="shared" si="72"/>
        <v>0</v>
      </c>
      <c r="Q114" s="49">
        <f t="shared" si="72"/>
        <v>0</v>
      </c>
      <c r="R114" s="49">
        <f t="shared" si="72"/>
        <v>0</v>
      </c>
      <c r="S114" s="49">
        <f t="shared" si="72"/>
        <v>0</v>
      </c>
      <c r="T114" s="49">
        <f t="shared" si="72"/>
        <v>0</v>
      </c>
      <c r="U114" s="49">
        <f t="shared" si="72"/>
        <v>0</v>
      </c>
      <c r="V114" s="70">
        <f t="shared" si="43"/>
        <v>0.06</v>
      </c>
    </row>
    <row r="115" spans="1:22" ht="18.75">
      <c r="A115" s="60"/>
      <c r="B115" s="32" t="s">
        <v>17</v>
      </c>
      <c r="C115" s="31"/>
      <c r="D115" s="33"/>
      <c r="E115" s="44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70"/>
    </row>
    <row r="116" spans="1:22" ht="99">
      <c r="A116" s="60"/>
      <c r="B116" s="34" t="s">
        <v>93</v>
      </c>
      <c r="C116" s="31">
        <v>840</v>
      </c>
      <c r="D116" s="33" t="s">
        <v>94</v>
      </c>
      <c r="E116" s="44" t="s">
        <v>371</v>
      </c>
      <c r="F116" s="49">
        <f t="shared" ref="F116:R116" si="73">G116+H116+I116</f>
        <v>25000</v>
      </c>
      <c r="G116" s="54">
        <v>25000</v>
      </c>
      <c r="H116" s="54"/>
      <c r="I116" s="54"/>
      <c r="J116" s="49">
        <f t="shared" si="73"/>
        <v>1501.5</v>
      </c>
      <c r="K116" s="54">
        <v>1501.5</v>
      </c>
      <c r="L116" s="54"/>
      <c r="M116" s="54"/>
      <c r="N116" s="49">
        <f t="shared" si="73"/>
        <v>0</v>
      </c>
      <c r="O116" s="54"/>
      <c r="P116" s="54"/>
      <c r="Q116" s="54"/>
      <c r="R116" s="49">
        <f t="shared" si="73"/>
        <v>0</v>
      </c>
      <c r="S116" s="54"/>
      <c r="T116" s="54"/>
      <c r="U116" s="54"/>
      <c r="V116" s="73">
        <f t="shared" si="43"/>
        <v>0.06</v>
      </c>
    </row>
    <row r="117" spans="1:22" ht="33">
      <c r="A117" s="43" t="s">
        <v>91</v>
      </c>
      <c r="B117" s="28" t="s">
        <v>96</v>
      </c>
      <c r="C117" s="29" t="s">
        <v>14</v>
      </c>
      <c r="D117" s="29" t="s">
        <v>14</v>
      </c>
      <c r="E117" s="29" t="s">
        <v>14</v>
      </c>
      <c r="F117" s="49">
        <f t="shared" ref="F117:U117" si="74">SUM(F119:F121)</f>
        <v>3300</v>
      </c>
      <c r="G117" s="49">
        <f t="shared" si="74"/>
        <v>3300</v>
      </c>
      <c r="H117" s="49">
        <f t="shared" ref="H117" si="75">SUM(H119:H121)</f>
        <v>0</v>
      </c>
      <c r="I117" s="49">
        <f t="shared" si="74"/>
        <v>0</v>
      </c>
      <c r="J117" s="49">
        <f t="shared" si="74"/>
        <v>1270.0999999999999</v>
      </c>
      <c r="K117" s="49">
        <f t="shared" si="74"/>
        <v>1270.0999999999999</v>
      </c>
      <c r="L117" s="49">
        <f t="shared" si="74"/>
        <v>0</v>
      </c>
      <c r="M117" s="49">
        <f t="shared" si="74"/>
        <v>0</v>
      </c>
      <c r="N117" s="49">
        <f t="shared" si="74"/>
        <v>5610.2</v>
      </c>
      <c r="O117" s="49">
        <f t="shared" si="74"/>
        <v>1429.3</v>
      </c>
      <c r="P117" s="49">
        <f t="shared" si="74"/>
        <v>4180.8999999999996</v>
      </c>
      <c r="Q117" s="49">
        <f t="shared" si="74"/>
        <v>0</v>
      </c>
      <c r="R117" s="49">
        <f t="shared" si="74"/>
        <v>1300</v>
      </c>
      <c r="S117" s="49">
        <f t="shared" si="74"/>
        <v>1300</v>
      </c>
      <c r="T117" s="49">
        <f t="shared" si="74"/>
        <v>0</v>
      </c>
      <c r="U117" s="49">
        <f t="shared" si="74"/>
        <v>0</v>
      </c>
      <c r="V117" s="70">
        <f t="shared" ref="V117:V177" si="76">J117/F117</f>
        <v>0.38500000000000001</v>
      </c>
    </row>
    <row r="118" spans="1:22" ht="18.75">
      <c r="A118" s="60"/>
      <c r="B118" s="32" t="s">
        <v>17</v>
      </c>
      <c r="C118" s="31"/>
      <c r="D118" s="33"/>
      <c r="E118" s="44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70"/>
    </row>
    <row r="119" spans="1:22" ht="66">
      <c r="A119" s="60"/>
      <c r="B119" s="34" t="s">
        <v>298</v>
      </c>
      <c r="C119" s="31">
        <v>804</v>
      </c>
      <c r="D119" s="33" t="s">
        <v>97</v>
      </c>
      <c r="E119" s="39" t="s">
        <v>297</v>
      </c>
      <c r="F119" s="49">
        <f t="shared" ref="F119:R121" si="77">G119+H119+I119</f>
        <v>1300</v>
      </c>
      <c r="G119" s="54">
        <v>1300</v>
      </c>
      <c r="H119" s="54"/>
      <c r="I119" s="54"/>
      <c r="J119" s="49">
        <f t="shared" si="77"/>
        <v>1270.0999999999999</v>
      </c>
      <c r="K119" s="54">
        <v>1270.0999999999999</v>
      </c>
      <c r="L119" s="54"/>
      <c r="M119" s="54"/>
      <c r="N119" s="49">
        <f t="shared" si="77"/>
        <v>1300</v>
      </c>
      <c r="O119" s="54">
        <v>1300</v>
      </c>
      <c r="P119" s="54"/>
      <c r="Q119" s="54"/>
      <c r="R119" s="49">
        <f t="shared" si="77"/>
        <v>1300</v>
      </c>
      <c r="S119" s="54">
        <v>1300</v>
      </c>
      <c r="T119" s="54"/>
      <c r="U119" s="54"/>
      <c r="V119" s="73">
        <f t="shared" si="76"/>
        <v>0.97699999999999998</v>
      </c>
    </row>
    <row r="120" spans="1:22" ht="82.5">
      <c r="A120" s="60"/>
      <c r="B120" s="34" t="s">
        <v>280</v>
      </c>
      <c r="C120" s="31">
        <v>839</v>
      </c>
      <c r="D120" s="33" t="s">
        <v>18</v>
      </c>
      <c r="E120" s="39" t="s">
        <v>281</v>
      </c>
      <c r="F120" s="49">
        <f t="shared" si="77"/>
        <v>0</v>
      </c>
      <c r="G120" s="54"/>
      <c r="H120" s="54"/>
      <c r="I120" s="54"/>
      <c r="J120" s="49">
        <f t="shared" si="77"/>
        <v>0</v>
      </c>
      <c r="K120" s="54"/>
      <c r="L120" s="54"/>
      <c r="M120" s="54"/>
      <c r="N120" s="49">
        <f t="shared" si="77"/>
        <v>4310.2</v>
      </c>
      <c r="O120" s="54">
        <v>129.30000000000001</v>
      </c>
      <c r="P120" s="54">
        <v>4180.8999999999996</v>
      </c>
      <c r="Q120" s="54"/>
      <c r="R120" s="49">
        <f t="shared" si="77"/>
        <v>0</v>
      </c>
      <c r="S120" s="54"/>
      <c r="T120" s="54"/>
      <c r="U120" s="54"/>
      <c r="V120" s="73"/>
    </row>
    <row r="121" spans="1:22" ht="82.5">
      <c r="A121" s="60"/>
      <c r="B121" s="34" t="s">
        <v>302</v>
      </c>
      <c r="C121" s="31">
        <v>804</v>
      </c>
      <c r="D121" s="33" t="s">
        <v>97</v>
      </c>
      <c r="E121" s="39" t="s">
        <v>301</v>
      </c>
      <c r="F121" s="49">
        <f t="shared" si="77"/>
        <v>2000</v>
      </c>
      <c r="G121" s="54">
        <v>2000</v>
      </c>
      <c r="H121" s="54"/>
      <c r="I121" s="54"/>
      <c r="J121" s="49">
        <f t="shared" si="77"/>
        <v>0</v>
      </c>
      <c r="K121" s="54"/>
      <c r="L121" s="54"/>
      <c r="M121" s="54"/>
      <c r="N121" s="49">
        <f t="shared" si="77"/>
        <v>0</v>
      </c>
      <c r="O121" s="54"/>
      <c r="P121" s="54"/>
      <c r="Q121" s="54"/>
      <c r="R121" s="49">
        <f t="shared" si="77"/>
        <v>0</v>
      </c>
      <c r="S121" s="54"/>
      <c r="T121" s="54"/>
      <c r="U121" s="54"/>
      <c r="V121" s="73">
        <f t="shared" si="76"/>
        <v>0</v>
      </c>
    </row>
    <row r="122" spans="1:22" ht="33">
      <c r="A122" s="57" t="s">
        <v>95</v>
      </c>
      <c r="B122" s="15" t="s">
        <v>98</v>
      </c>
      <c r="C122" s="6" t="s">
        <v>14</v>
      </c>
      <c r="D122" s="6" t="s">
        <v>14</v>
      </c>
      <c r="E122" s="6" t="s">
        <v>14</v>
      </c>
      <c r="F122" s="51">
        <f t="shared" ref="F122:U122" si="78">SUM(F124:F130)</f>
        <v>39395.699999999997</v>
      </c>
      <c r="G122" s="49">
        <f t="shared" si="78"/>
        <v>32595.3</v>
      </c>
      <c r="H122" s="49">
        <f t="shared" ref="H122" si="79">SUM(H124:H130)</f>
        <v>6800.4</v>
      </c>
      <c r="I122" s="49">
        <f t="shared" si="78"/>
        <v>0</v>
      </c>
      <c r="J122" s="51">
        <f t="shared" si="78"/>
        <v>2300.8000000000002</v>
      </c>
      <c r="K122" s="51">
        <f t="shared" si="78"/>
        <v>2300.8000000000002</v>
      </c>
      <c r="L122" s="49">
        <f t="shared" si="78"/>
        <v>0</v>
      </c>
      <c r="M122" s="49">
        <f t="shared" si="78"/>
        <v>0</v>
      </c>
      <c r="N122" s="51">
        <f t="shared" si="78"/>
        <v>23645</v>
      </c>
      <c r="O122" s="49">
        <f t="shared" si="78"/>
        <v>23645</v>
      </c>
      <c r="P122" s="49">
        <f t="shared" si="78"/>
        <v>0</v>
      </c>
      <c r="Q122" s="49">
        <f t="shared" si="78"/>
        <v>0</v>
      </c>
      <c r="R122" s="51">
        <f t="shared" si="78"/>
        <v>23645</v>
      </c>
      <c r="S122" s="49">
        <f t="shared" si="78"/>
        <v>23645</v>
      </c>
      <c r="T122" s="49">
        <f t="shared" si="78"/>
        <v>0</v>
      </c>
      <c r="U122" s="49">
        <f t="shared" si="78"/>
        <v>0</v>
      </c>
      <c r="V122" s="70">
        <f t="shared" si="76"/>
        <v>5.8000000000000003E-2</v>
      </c>
    </row>
    <row r="123" spans="1:22" ht="18.75">
      <c r="A123" s="58"/>
      <c r="B123" s="18" t="s">
        <v>17</v>
      </c>
      <c r="C123" s="7"/>
      <c r="D123" s="8"/>
      <c r="E123" s="10"/>
      <c r="F123" s="51"/>
      <c r="G123" s="49"/>
      <c r="H123" s="49"/>
      <c r="I123" s="49"/>
      <c r="J123" s="51"/>
      <c r="K123" s="51"/>
      <c r="L123" s="49"/>
      <c r="M123" s="49"/>
      <c r="N123" s="51"/>
      <c r="O123" s="49"/>
      <c r="P123" s="49"/>
      <c r="Q123" s="49"/>
      <c r="R123" s="51"/>
      <c r="S123" s="49"/>
      <c r="T123" s="49"/>
      <c r="U123" s="49"/>
      <c r="V123" s="70"/>
    </row>
    <row r="124" spans="1:22" ht="66">
      <c r="A124" s="60"/>
      <c r="B124" s="34" t="s">
        <v>99</v>
      </c>
      <c r="C124" s="31">
        <v>804</v>
      </c>
      <c r="D124" s="33" t="s">
        <v>97</v>
      </c>
      <c r="E124" s="39" t="s">
        <v>291</v>
      </c>
      <c r="F124" s="49">
        <f t="shared" ref="F124:R130" si="80">G124+H124+I124</f>
        <v>2600</v>
      </c>
      <c r="G124" s="54">
        <v>2600</v>
      </c>
      <c r="H124" s="54"/>
      <c r="I124" s="54"/>
      <c r="J124" s="49">
        <f t="shared" si="80"/>
        <v>0</v>
      </c>
      <c r="K124" s="54"/>
      <c r="L124" s="54"/>
      <c r="M124" s="54"/>
      <c r="N124" s="49">
        <f t="shared" si="80"/>
        <v>1600</v>
      </c>
      <c r="O124" s="54">
        <v>1600</v>
      </c>
      <c r="P124" s="54"/>
      <c r="Q124" s="54"/>
      <c r="R124" s="49">
        <f t="shared" si="80"/>
        <v>1600</v>
      </c>
      <c r="S124" s="54">
        <v>1600</v>
      </c>
      <c r="T124" s="54"/>
      <c r="U124" s="54"/>
      <c r="V124" s="73">
        <f t="shared" si="76"/>
        <v>0</v>
      </c>
    </row>
    <row r="125" spans="1:22" ht="115.5">
      <c r="A125" s="60"/>
      <c r="B125" s="34" t="s">
        <v>308</v>
      </c>
      <c r="C125" s="31">
        <v>804</v>
      </c>
      <c r="D125" s="33" t="s">
        <v>97</v>
      </c>
      <c r="E125" s="39" t="s">
        <v>307</v>
      </c>
      <c r="F125" s="49">
        <f t="shared" si="80"/>
        <v>9700</v>
      </c>
      <c r="G125" s="54">
        <v>9700</v>
      </c>
      <c r="H125" s="54"/>
      <c r="I125" s="54"/>
      <c r="J125" s="49">
        <f t="shared" si="80"/>
        <v>0</v>
      </c>
      <c r="K125" s="54"/>
      <c r="L125" s="54"/>
      <c r="M125" s="54"/>
      <c r="N125" s="49">
        <f t="shared" si="80"/>
        <v>9700</v>
      </c>
      <c r="O125" s="54">
        <v>9700</v>
      </c>
      <c r="P125" s="54"/>
      <c r="Q125" s="54"/>
      <c r="R125" s="49">
        <f t="shared" si="80"/>
        <v>9700</v>
      </c>
      <c r="S125" s="54">
        <v>9700</v>
      </c>
      <c r="T125" s="54"/>
      <c r="U125" s="54"/>
      <c r="V125" s="73">
        <f t="shared" si="76"/>
        <v>0</v>
      </c>
    </row>
    <row r="126" spans="1:22" ht="165">
      <c r="A126" s="60"/>
      <c r="B126" s="34" t="s">
        <v>100</v>
      </c>
      <c r="C126" s="31">
        <v>804</v>
      </c>
      <c r="D126" s="33" t="s">
        <v>97</v>
      </c>
      <c r="E126" s="39" t="s">
        <v>296</v>
      </c>
      <c r="F126" s="49">
        <f t="shared" si="80"/>
        <v>7819</v>
      </c>
      <c r="G126" s="54">
        <v>7819</v>
      </c>
      <c r="H126" s="54"/>
      <c r="I126" s="54"/>
      <c r="J126" s="49">
        <f t="shared" si="80"/>
        <v>0</v>
      </c>
      <c r="K126" s="54"/>
      <c r="L126" s="54"/>
      <c r="M126" s="54"/>
      <c r="N126" s="49">
        <f t="shared" si="80"/>
        <v>7819</v>
      </c>
      <c r="O126" s="54">
        <v>7819</v>
      </c>
      <c r="P126" s="54"/>
      <c r="Q126" s="54"/>
      <c r="R126" s="49">
        <f t="shared" si="80"/>
        <v>7819</v>
      </c>
      <c r="S126" s="54">
        <v>7819</v>
      </c>
      <c r="T126" s="54"/>
      <c r="U126" s="54"/>
      <c r="V126" s="73">
        <f t="shared" si="76"/>
        <v>0</v>
      </c>
    </row>
    <row r="127" spans="1:22" ht="33">
      <c r="A127" s="60"/>
      <c r="B127" s="34" t="s">
        <v>300</v>
      </c>
      <c r="C127" s="31">
        <v>804</v>
      </c>
      <c r="D127" s="33" t="s">
        <v>97</v>
      </c>
      <c r="E127" s="39" t="s">
        <v>299</v>
      </c>
      <c r="F127" s="49">
        <f t="shared" si="80"/>
        <v>3440</v>
      </c>
      <c r="G127" s="54">
        <v>3440</v>
      </c>
      <c r="H127" s="54"/>
      <c r="I127" s="54"/>
      <c r="J127" s="49">
        <f t="shared" si="80"/>
        <v>0</v>
      </c>
      <c r="K127" s="54"/>
      <c r="L127" s="54"/>
      <c r="M127" s="54"/>
      <c r="N127" s="49">
        <f t="shared" si="80"/>
        <v>0</v>
      </c>
      <c r="O127" s="54"/>
      <c r="P127" s="54"/>
      <c r="Q127" s="54"/>
      <c r="R127" s="49">
        <f t="shared" si="80"/>
        <v>0</v>
      </c>
      <c r="S127" s="54"/>
      <c r="T127" s="54"/>
      <c r="U127" s="54"/>
      <c r="V127" s="73">
        <f t="shared" si="76"/>
        <v>0</v>
      </c>
    </row>
    <row r="128" spans="1:22" ht="82.5">
      <c r="A128" s="60"/>
      <c r="B128" s="34" t="s">
        <v>168</v>
      </c>
      <c r="C128" s="31">
        <v>804</v>
      </c>
      <c r="D128" s="33" t="s">
        <v>97</v>
      </c>
      <c r="E128" s="39" t="s">
        <v>290</v>
      </c>
      <c r="F128" s="49">
        <f t="shared" si="80"/>
        <v>1630</v>
      </c>
      <c r="G128" s="54">
        <v>1630</v>
      </c>
      <c r="H128" s="54"/>
      <c r="I128" s="54"/>
      <c r="J128" s="49">
        <f t="shared" si="80"/>
        <v>0</v>
      </c>
      <c r="K128" s="54"/>
      <c r="L128" s="54"/>
      <c r="M128" s="54"/>
      <c r="N128" s="49">
        <f t="shared" si="80"/>
        <v>630</v>
      </c>
      <c r="O128" s="54">
        <v>630</v>
      </c>
      <c r="P128" s="54"/>
      <c r="Q128" s="54"/>
      <c r="R128" s="49">
        <f t="shared" si="80"/>
        <v>630</v>
      </c>
      <c r="S128" s="54">
        <v>630</v>
      </c>
      <c r="T128" s="54"/>
      <c r="U128" s="54"/>
      <c r="V128" s="73">
        <f t="shared" si="76"/>
        <v>0</v>
      </c>
    </row>
    <row r="129" spans="1:22" ht="181.5">
      <c r="A129" s="60"/>
      <c r="B129" s="34" t="s">
        <v>289</v>
      </c>
      <c r="C129" s="31">
        <v>804</v>
      </c>
      <c r="D129" s="33" t="s">
        <v>97</v>
      </c>
      <c r="E129" s="39" t="s">
        <v>288</v>
      </c>
      <c r="F129" s="49">
        <f t="shared" si="80"/>
        <v>7196</v>
      </c>
      <c r="G129" s="54">
        <v>7196</v>
      </c>
      <c r="H129" s="54"/>
      <c r="I129" s="54"/>
      <c r="J129" s="49">
        <f t="shared" si="80"/>
        <v>2300.8000000000002</v>
      </c>
      <c r="K129" s="54">
        <v>2300.8000000000002</v>
      </c>
      <c r="L129" s="54"/>
      <c r="M129" s="54"/>
      <c r="N129" s="49">
        <f t="shared" si="80"/>
        <v>3896</v>
      </c>
      <c r="O129" s="54">
        <v>3896</v>
      </c>
      <c r="P129" s="54"/>
      <c r="Q129" s="54"/>
      <c r="R129" s="49">
        <f t="shared" si="80"/>
        <v>3896</v>
      </c>
      <c r="S129" s="54">
        <v>3896</v>
      </c>
      <c r="T129" s="54"/>
      <c r="U129" s="54"/>
      <c r="V129" s="73">
        <f t="shared" si="76"/>
        <v>0.32</v>
      </c>
    </row>
    <row r="130" spans="1:22" ht="66">
      <c r="A130" s="60"/>
      <c r="B130" s="34" t="s">
        <v>283</v>
      </c>
      <c r="C130" s="31">
        <v>804</v>
      </c>
      <c r="D130" s="33" t="s">
        <v>97</v>
      </c>
      <c r="E130" s="39" t="s">
        <v>282</v>
      </c>
      <c r="F130" s="49">
        <f t="shared" si="80"/>
        <v>7010.7</v>
      </c>
      <c r="G130" s="54">
        <v>210.3</v>
      </c>
      <c r="H130" s="50">
        <v>6800.4</v>
      </c>
      <c r="I130" s="50"/>
      <c r="J130" s="49">
        <f t="shared" si="80"/>
        <v>0</v>
      </c>
      <c r="K130" s="54"/>
      <c r="L130" s="50"/>
      <c r="M130" s="50"/>
      <c r="N130" s="49">
        <f t="shared" si="80"/>
        <v>0</v>
      </c>
      <c r="O130" s="54"/>
      <c r="P130" s="54"/>
      <c r="Q130" s="50"/>
      <c r="R130" s="49">
        <f t="shared" si="80"/>
        <v>0</v>
      </c>
      <c r="S130" s="54"/>
      <c r="T130" s="54"/>
      <c r="U130" s="50"/>
      <c r="V130" s="73">
        <f t="shared" si="76"/>
        <v>0</v>
      </c>
    </row>
    <row r="131" spans="1:22" ht="33">
      <c r="A131" s="59" t="s">
        <v>101</v>
      </c>
      <c r="B131" s="22" t="s">
        <v>102</v>
      </c>
      <c r="C131" s="1" t="s">
        <v>14</v>
      </c>
      <c r="D131" s="1" t="s">
        <v>14</v>
      </c>
      <c r="E131" s="1" t="s">
        <v>14</v>
      </c>
      <c r="F131" s="48">
        <f t="shared" ref="F131:U131" si="81">F132+F136</f>
        <v>1295634.3999999999</v>
      </c>
      <c r="G131" s="48">
        <f t="shared" si="81"/>
        <v>292892.40000000002</v>
      </c>
      <c r="H131" s="48">
        <f t="shared" ref="H131" si="82">H132+H136</f>
        <v>865471.1</v>
      </c>
      <c r="I131" s="48">
        <f t="shared" si="81"/>
        <v>137270.9</v>
      </c>
      <c r="J131" s="48">
        <f t="shared" si="81"/>
        <v>5090.6000000000004</v>
      </c>
      <c r="K131" s="48">
        <f t="shared" si="81"/>
        <v>28.4</v>
      </c>
      <c r="L131" s="48">
        <f t="shared" si="81"/>
        <v>917.5</v>
      </c>
      <c r="M131" s="48">
        <f t="shared" si="81"/>
        <v>4144.7</v>
      </c>
      <c r="N131" s="48">
        <f t="shared" si="81"/>
        <v>890814.1</v>
      </c>
      <c r="O131" s="48">
        <f t="shared" si="81"/>
        <v>26691.1</v>
      </c>
      <c r="P131" s="48">
        <f t="shared" si="81"/>
        <v>863011</v>
      </c>
      <c r="Q131" s="48">
        <f t="shared" si="81"/>
        <v>1112</v>
      </c>
      <c r="R131" s="48">
        <f t="shared" si="81"/>
        <v>415145.5</v>
      </c>
      <c r="S131" s="48">
        <f t="shared" si="81"/>
        <v>12424</v>
      </c>
      <c r="T131" s="48">
        <f t="shared" si="81"/>
        <v>401709.5</v>
      </c>
      <c r="U131" s="48">
        <f t="shared" si="81"/>
        <v>1012</v>
      </c>
      <c r="V131" s="69">
        <f t="shared" si="76"/>
        <v>4.0000000000000001E-3</v>
      </c>
    </row>
    <row r="132" spans="1:22" ht="33">
      <c r="A132" s="57" t="s">
        <v>103</v>
      </c>
      <c r="B132" s="15" t="s">
        <v>104</v>
      </c>
      <c r="C132" s="6" t="s">
        <v>14</v>
      </c>
      <c r="D132" s="6" t="s">
        <v>14</v>
      </c>
      <c r="E132" s="6" t="s">
        <v>14</v>
      </c>
      <c r="F132" s="51">
        <f t="shared" ref="F132:U132" si="83">SUM(F134:F135)</f>
        <v>536498.19999999995</v>
      </c>
      <c r="G132" s="49">
        <f t="shared" si="83"/>
        <v>95816.4</v>
      </c>
      <c r="H132" s="49">
        <f t="shared" ref="H132" si="84">SUM(H134:H135)</f>
        <v>385296.8</v>
      </c>
      <c r="I132" s="49">
        <f t="shared" si="83"/>
        <v>55385</v>
      </c>
      <c r="J132" s="51">
        <f t="shared" si="83"/>
        <v>4840.2</v>
      </c>
      <c r="K132" s="51">
        <f t="shared" si="83"/>
        <v>28.4</v>
      </c>
      <c r="L132" s="49">
        <f t="shared" si="83"/>
        <v>917.5</v>
      </c>
      <c r="M132" s="49">
        <f t="shared" si="83"/>
        <v>3894.3</v>
      </c>
      <c r="N132" s="51">
        <f t="shared" si="83"/>
        <v>398325.2</v>
      </c>
      <c r="O132" s="49">
        <f t="shared" si="83"/>
        <v>11916.4</v>
      </c>
      <c r="P132" s="49">
        <f t="shared" si="83"/>
        <v>385296.8</v>
      </c>
      <c r="Q132" s="49">
        <f t="shared" si="83"/>
        <v>1112</v>
      </c>
      <c r="R132" s="51">
        <f t="shared" si="83"/>
        <v>415145.5</v>
      </c>
      <c r="S132" s="49">
        <f t="shared" si="83"/>
        <v>12424</v>
      </c>
      <c r="T132" s="49">
        <f t="shared" si="83"/>
        <v>401709.5</v>
      </c>
      <c r="U132" s="49">
        <f t="shared" si="83"/>
        <v>1012</v>
      </c>
      <c r="V132" s="70">
        <f t="shared" si="76"/>
        <v>8.9999999999999993E-3</v>
      </c>
    </row>
    <row r="133" spans="1:22" ht="18.75">
      <c r="A133" s="58"/>
      <c r="B133" s="16" t="s">
        <v>17</v>
      </c>
      <c r="C133" s="7"/>
      <c r="D133" s="7"/>
      <c r="E133" s="7"/>
      <c r="F133" s="51"/>
      <c r="G133" s="49"/>
      <c r="H133" s="49"/>
      <c r="I133" s="49"/>
      <c r="J133" s="51"/>
      <c r="K133" s="51"/>
      <c r="L133" s="49"/>
      <c r="M133" s="49"/>
      <c r="N133" s="51"/>
      <c r="O133" s="49"/>
      <c r="P133" s="49"/>
      <c r="Q133" s="49"/>
      <c r="R133" s="51"/>
      <c r="S133" s="49"/>
      <c r="T133" s="49"/>
      <c r="U133" s="49"/>
      <c r="V133" s="70"/>
    </row>
    <row r="134" spans="1:22" ht="66">
      <c r="A134" s="58"/>
      <c r="B134" s="17" t="s">
        <v>105</v>
      </c>
      <c r="C134" s="7">
        <v>821</v>
      </c>
      <c r="D134" s="8" t="s">
        <v>21</v>
      </c>
      <c r="E134" s="7" t="s">
        <v>272</v>
      </c>
      <c r="F134" s="51">
        <f t="shared" ref="F134:R135" si="85">G134+H134+I134</f>
        <v>528912</v>
      </c>
      <c r="G134" s="54">
        <v>91916.4</v>
      </c>
      <c r="H134" s="54">
        <v>385296.8</v>
      </c>
      <c r="I134" s="54">
        <v>51698.8</v>
      </c>
      <c r="J134" s="51">
        <f t="shared" si="85"/>
        <v>1054</v>
      </c>
      <c r="K134" s="55">
        <v>28.4</v>
      </c>
      <c r="L134" s="54">
        <v>917.5</v>
      </c>
      <c r="M134" s="54">
        <v>108.1</v>
      </c>
      <c r="N134" s="51">
        <f t="shared" si="85"/>
        <v>398325.2</v>
      </c>
      <c r="O134" s="54">
        <v>11916.4</v>
      </c>
      <c r="P134" s="54">
        <v>385296.8</v>
      </c>
      <c r="Q134" s="54">
        <v>1112</v>
      </c>
      <c r="R134" s="51">
        <f t="shared" si="85"/>
        <v>415145.5</v>
      </c>
      <c r="S134" s="54">
        <v>12424</v>
      </c>
      <c r="T134" s="54">
        <v>401709.5</v>
      </c>
      <c r="U134" s="54">
        <v>1012</v>
      </c>
      <c r="V134" s="73">
        <f t="shared" si="76"/>
        <v>2E-3</v>
      </c>
    </row>
    <row r="135" spans="1:22" ht="82.5">
      <c r="A135" s="58"/>
      <c r="B135" s="17" t="s">
        <v>106</v>
      </c>
      <c r="C135" s="7">
        <v>821</v>
      </c>
      <c r="D135" s="8" t="s">
        <v>21</v>
      </c>
      <c r="E135" s="7" t="s">
        <v>364</v>
      </c>
      <c r="F135" s="51">
        <f t="shared" si="85"/>
        <v>7586.2</v>
      </c>
      <c r="G135" s="54">
        <v>3900</v>
      </c>
      <c r="H135" s="54"/>
      <c r="I135" s="54">
        <v>3686.2</v>
      </c>
      <c r="J135" s="51">
        <f t="shared" si="85"/>
        <v>3786.2</v>
      </c>
      <c r="K135" s="55"/>
      <c r="L135" s="54"/>
      <c r="M135" s="54">
        <v>3786.2</v>
      </c>
      <c r="N135" s="51">
        <f t="shared" si="85"/>
        <v>0</v>
      </c>
      <c r="O135" s="54"/>
      <c r="P135" s="54"/>
      <c r="Q135" s="54"/>
      <c r="R135" s="51">
        <f t="shared" si="85"/>
        <v>0</v>
      </c>
      <c r="S135" s="54"/>
      <c r="T135" s="54"/>
      <c r="U135" s="54"/>
      <c r="V135" s="73">
        <f t="shared" si="76"/>
        <v>0.499</v>
      </c>
    </row>
    <row r="136" spans="1:22" ht="49.5">
      <c r="A136" s="57" t="s">
        <v>107</v>
      </c>
      <c r="B136" s="15" t="s">
        <v>108</v>
      </c>
      <c r="C136" s="6" t="s">
        <v>14</v>
      </c>
      <c r="D136" s="6" t="s">
        <v>14</v>
      </c>
      <c r="E136" s="6" t="s">
        <v>14</v>
      </c>
      <c r="F136" s="51">
        <f t="shared" ref="F136:U136" si="86">SUM(F138:F139)</f>
        <v>759136.2</v>
      </c>
      <c r="G136" s="49">
        <f t="shared" si="86"/>
        <v>197076</v>
      </c>
      <c r="H136" s="49">
        <f t="shared" ref="H136" si="87">SUM(H138:H139)</f>
        <v>480174.3</v>
      </c>
      <c r="I136" s="49">
        <f t="shared" si="86"/>
        <v>81885.899999999994</v>
      </c>
      <c r="J136" s="51">
        <f t="shared" si="86"/>
        <v>250.4</v>
      </c>
      <c r="K136" s="51">
        <f t="shared" si="86"/>
        <v>0</v>
      </c>
      <c r="L136" s="49">
        <f t="shared" si="86"/>
        <v>0</v>
      </c>
      <c r="M136" s="49">
        <f t="shared" si="86"/>
        <v>250.4</v>
      </c>
      <c r="N136" s="51">
        <f t="shared" si="86"/>
        <v>492488.9</v>
      </c>
      <c r="O136" s="49">
        <f t="shared" si="86"/>
        <v>14774.7</v>
      </c>
      <c r="P136" s="49">
        <f t="shared" si="86"/>
        <v>477714.2</v>
      </c>
      <c r="Q136" s="49">
        <f t="shared" si="86"/>
        <v>0</v>
      </c>
      <c r="R136" s="51">
        <f t="shared" si="86"/>
        <v>0</v>
      </c>
      <c r="S136" s="49">
        <f t="shared" si="86"/>
        <v>0</v>
      </c>
      <c r="T136" s="49">
        <f t="shared" si="86"/>
        <v>0</v>
      </c>
      <c r="U136" s="49">
        <f t="shared" si="86"/>
        <v>0</v>
      </c>
      <c r="V136" s="70">
        <f t="shared" si="76"/>
        <v>0</v>
      </c>
    </row>
    <row r="137" spans="1:22" ht="18.75">
      <c r="A137" s="57"/>
      <c r="B137" s="18" t="s">
        <v>17</v>
      </c>
      <c r="C137" s="6"/>
      <c r="D137" s="6"/>
      <c r="E137" s="6"/>
      <c r="F137" s="51"/>
      <c r="G137" s="49"/>
      <c r="H137" s="49"/>
      <c r="I137" s="49"/>
      <c r="J137" s="51"/>
      <c r="K137" s="51"/>
      <c r="L137" s="49"/>
      <c r="M137" s="49"/>
      <c r="N137" s="51"/>
      <c r="O137" s="49"/>
      <c r="P137" s="49"/>
      <c r="Q137" s="49"/>
      <c r="R137" s="51"/>
      <c r="S137" s="49"/>
      <c r="T137" s="49"/>
      <c r="U137" s="49"/>
      <c r="V137" s="70"/>
    </row>
    <row r="138" spans="1:22" ht="82.5">
      <c r="A138" s="57"/>
      <c r="B138" s="17" t="s">
        <v>166</v>
      </c>
      <c r="C138" s="7">
        <v>821</v>
      </c>
      <c r="D138" s="8" t="s">
        <v>21</v>
      </c>
      <c r="E138" s="7" t="s">
        <v>273</v>
      </c>
      <c r="F138" s="51">
        <f t="shared" ref="F138:R139" si="88">G138+H138+I138</f>
        <v>562060.19999999995</v>
      </c>
      <c r="G138" s="54"/>
      <c r="H138" s="54">
        <f>334399.9+145774.4</f>
        <v>480174.3</v>
      </c>
      <c r="I138" s="75">
        <v>81885.899999999994</v>
      </c>
      <c r="J138" s="51">
        <f t="shared" si="88"/>
        <v>250.4</v>
      </c>
      <c r="K138" s="55"/>
      <c r="L138" s="54"/>
      <c r="M138" s="75">
        <v>250.4</v>
      </c>
      <c r="N138" s="51">
        <f t="shared" si="88"/>
        <v>477714.2</v>
      </c>
      <c r="O138" s="54"/>
      <c r="P138" s="54">
        <v>477714.2</v>
      </c>
      <c r="Q138" s="54"/>
      <c r="R138" s="51">
        <f t="shared" si="88"/>
        <v>0</v>
      </c>
      <c r="S138" s="54"/>
      <c r="T138" s="54"/>
      <c r="U138" s="54"/>
      <c r="V138" s="73">
        <f t="shared" si="76"/>
        <v>0</v>
      </c>
    </row>
    <row r="139" spans="1:22" ht="66">
      <c r="A139" s="58"/>
      <c r="B139" s="17" t="s">
        <v>167</v>
      </c>
      <c r="C139" s="7">
        <v>821</v>
      </c>
      <c r="D139" s="8" t="s">
        <v>21</v>
      </c>
      <c r="E139" s="7" t="s">
        <v>359</v>
      </c>
      <c r="F139" s="51">
        <f t="shared" si="88"/>
        <v>197076</v>
      </c>
      <c r="G139" s="54">
        <v>197076</v>
      </c>
      <c r="H139" s="54"/>
      <c r="I139" s="76"/>
      <c r="J139" s="51">
        <f t="shared" si="88"/>
        <v>0</v>
      </c>
      <c r="K139" s="55"/>
      <c r="L139" s="54"/>
      <c r="M139" s="76"/>
      <c r="N139" s="51">
        <f t="shared" si="88"/>
        <v>14774.7</v>
      </c>
      <c r="O139" s="54">
        <v>14774.7</v>
      </c>
      <c r="P139" s="54"/>
      <c r="Q139" s="54"/>
      <c r="R139" s="51">
        <f t="shared" si="88"/>
        <v>0</v>
      </c>
      <c r="S139" s="54"/>
      <c r="T139" s="54"/>
      <c r="U139" s="54"/>
      <c r="V139" s="73">
        <f t="shared" si="76"/>
        <v>0</v>
      </c>
    </row>
    <row r="140" spans="1:22" ht="18.75">
      <c r="A140" s="59" t="s">
        <v>109</v>
      </c>
      <c r="B140" s="21" t="s">
        <v>110</v>
      </c>
      <c r="C140" s="1" t="s">
        <v>14</v>
      </c>
      <c r="D140" s="1" t="s">
        <v>14</v>
      </c>
      <c r="E140" s="1" t="s">
        <v>14</v>
      </c>
      <c r="F140" s="48">
        <f t="shared" ref="F140:U140" si="89">F141+F146+F150+F153+F156</f>
        <v>314923.40000000002</v>
      </c>
      <c r="G140" s="48">
        <f t="shared" si="89"/>
        <v>165943.6</v>
      </c>
      <c r="H140" s="48">
        <f t="shared" si="89"/>
        <v>133424.9</v>
      </c>
      <c r="I140" s="48">
        <f t="shared" si="89"/>
        <v>15554.9</v>
      </c>
      <c r="J140" s="48">
        <f t="shared" si="89"/>
        <v>0</v>
      </c>
      <c r="K140" s="48">
        <f t="shared" si="89"/>
        <v>0</v>
      </c>
      <c r="L140" s="48">
        <f t="shared" si="89"/>
        <v>0</v>
      </c>
      <c r="M140" s="48">
        <f t="shared" si="89"/>
        <v>0</v>
      </c>
      <c r="N140" s="48">
        <f t="shared" si="89"/>
        <v>465799.8</v>
      </c>
      <c r="O140" s="48">
        <f t="shared" si="89"/>
        <v>119522.8</v>
      </c>
      <c r="P140" s="48">
        <f t="shared" si="89"/>
        <v>346277</v>
      </c>
      <c r="Q140" s="48">
        <f t="shared" si="89"/>
        <v>0</v>
      </c>
      <c r="R140" s="48">
        <f t="shared" si="89"/>
        <v>538232.9</v>
      </c>
      <c r="S140" s="48">
        <f t="shared" si="89"/>
        <v>23811.1</v>
      </c>
      <c r="T140" s="48">
        <f t="shared" si="89"/>
        <v>514421.8</v>
      </c>
      <c r="U140" s="48">
        <f t="shared" si="89"/>
        <v>0</v>
      </c>
      <c r="V140" s="69">
        <f t="shared" si="76"/>
        <v>0</v>
      </c>
    </row>
    <row r="141" spans="1:22" ht="33">
      <c r="A141" s="57" t="s">
        <v>111</v>
      </c>
      <c r="B141" s="15" t="s">
        <v>112</v>
      </c>
      <c r="C141" s="6" t="s">
        <v>14</v>
      </c>
      <c r="D141" s="6" t="s">
        <v>14</v>
      </c>
      <c r="E141" s="6" t="s">
        <v>14</v>
      </c>
      <c r="F141" s="51">
        <f t="shared" ref="F141:T141" si="90">SUM(F143:F145)</f>
        <v>73111.100000000006</v>
      </c>
      <c r="G141" s="49">
        <f t="shared" si="90"/>
        <v>1629.1</v>
      </c>
      <c r="H141" s="49">
        <f t="shared" si="90"/>
        <v>71482</v>
      </c>
      <c r="I141" s="49">
        <f t="shared" si="90"/>
        <v>0</v>
      </c>
      <c r="J141" s="51">
        <f t="shared" si="90"/>
        <v>0</v>
      </c>
      <c r="K141" s="51">
        <f t="shared" si="90"/>
        <v>0</v>
      </c>
      <c r="L141" s="51">
        <f t="shared" si="90"/>
        <v>0</v>
      </c>
      <c r="M141" s="49">
        <f t="shared" si="90"/>
        <v>0</v>
      </c>
      <c r="N141" s="51">
        <f t="shared" si="90"/>
        <v>67450.899999999994</v>
      </c>
      <c r="O141" s="49">
        <f t="shared" si="90"/>
        <v>0</v>
      </c>
      <c r="P141" s="49">
        <f t="shared" si="90"/>
        <v>67450.899999999994</v>
      </c>
      <c r="Q141" s="49">
        <f t="shared" si="90"/>
        <v>0</v>
      </c>
      <c r="R141" s="51">
        <f t="shared" si="90"/>
        <v>56469.2</v>
      </c>
      <c r="S141" s="49">
        <f t="shared" si="90"/>
        <v>0</v>
      </c>
      <c r="T141" s="49">
        <f t="shared" si="90"/>
        <v>56469.2</v>
      </c>
      <c r="U141" s="49"/>
      <c r="V141" s="70">
        <f t="shared" si="76"/>
        <v>0</v>
      </c>
    </row>
    <row r="142" spans="1:22" ht="18.75">
      <c r="A142" s="58"/>
      <c r="B142" s="16" t="s">
        <v>17</v>
      </c>
      <c r="C142" s="7"/>
      <c r="D142" s="7"/>
      <c r="E142" s="7"/>
      <c r="F142" s="51"/>
      <c r="G142" s="49"/>
      <c r="H142" s="49"/>
      <c r="I142" s="49"/>
      <c r="J142" s="51"/>
      <c r="K142" s="51"/>
      <c r="L142" s="51"/>
      <c r="M142" s="49"/>
      <c r="N142" s="51"/>
      <c r="O142" s="49"/>
      <c r="P142" s="49"/>
      <c r="Q142" s="49"/>
      <c r="R142" s="51"/>
      <c r="S142" s="49"/>
      <c r="T142" s="49"/>
      <c r="U142" s="49"/>
      <c r="V142" s="70"/>
    </row>
    <row r="143" spans="1:22" ht="49.5">
      <c r="A143" s="58"/>
      <c r="B143" s="19" t="s">
        <v>113</v>
      </c>
      <c r="C143" s="7">
        <v>838</v>
      </c>
      <c r="D143" s="8" t="s">
        <v>114</v>
      </c>
      <c r="E143" s="7" t="s">
        <v>275</v>
      </c>
      <c r="F143" s="51">
        <f t="shared" ref="F143:N145" si="91">G143+H143+I143</f>
        <v>18806.099999999999</v>
      </c>
      <c r="G143" s="54"/>
      <c r="H143" s="54">
        <v>18806.099999999999</v>
      </c>
      <c r="I143" s="54"/>
      <c r="J143" s="51">
        <f t="shared" si="91"/>
        <v>0</v>
      </c>
      <c r="K143" s="55"/>
      <c r="L143" s="54"/>
      <c r="M143" s="54"/>
      <c r="N143" s="51">
        <f t="shared" si="91"/>
        <v>22416.9</v>
      </c>
      <c r="O143" s="54"/>
      <c r="P143" s="54">
        <v>22416.9</v>
      </c>
      <c r="Q143" s="54"/>
      <c r="R143" s="51">
        <f t="shared" ref="R143:R145" si="92">S143+T143+U143</f>
        <v>23169.200000000001</v>
      </c>
      <c r="S143" s="54"/>
      <c r="T143" s="54">
        <v>23169.200000000001</v>
      </c>
      <c r="U143" s="54"/>
      <c r="V143" s="73">
        <f t="shared" si="76"/>
        <v>0</v>
      </c>
    </row>
    <row r="144" spans="1:22" ht="99">
      <c r="A144" s="58"/>
      <c r="B144" s="17" t="s">
        <v>115</v>
      </c>
      <c r="C144" s="7">
        <v>838</v>
      </c>
      <c r="D144" s="8" t="s">
        <v>114</v>
      </c>
      <c r="E144" s="7" t="s">
        <v>276</v>
      </c>
      <c r="F144" s="51">
        <f t="shared" si="91"/>
        <v>11474.9</v>
      </c>
      <c r="G144" s="54">
        <v>344.2</v>
      </c>
      <c r="H144" s="54">
        <v>11130.7</v>
      </c>
      <c r="I144" s="54"/>
      <c r="J144" s="51">
        <f t="shared" si="91"/>
        <v>0</v>
      </c>
      <c r="K144" s="55"/>
      <c r="L144" s="54"/>
      <c r="M144" s="54"/>
      <c r="N144" s="51">
        <f t="shared" si="91"/>
        <v>12584.7</v>
      </c>
      <c r="O144" s="54"/>
      <c r="P144" s="54">
        <v>12584.7</v>
      </c>
      <c r="Q144" s="54"/>
      <c r="R144" s="51">
        <f t="shared" si="92"/>
        <v>6782.7</v>
      </c>
      <c r="S144" s="54"/>
      <c r="T144" s="54">
        <v>6782.7</v>
      </c>
      <c r="U144" s="54"/>
      <c r="V144" s="73">
        <f t="shared" si="76"/>
        <v>0</v>
      </c>
    </row>
    <row r="145" spans="1:22" ht="99">
      <c r="A145" s="58"/>
      <c r="B145" s="17" t="s">
        <v>116</v>
      </c>
      <c r="C145" s="7">
        <v>838</v>
      </c>
      <c r="D145" s="8" t="s">
        <v>114</v>
      </c>
      <c r="E145" s="7" t="s">
        <v>277</v>
      </c>
      <c r="F145" s="51">
        <f t="shared" si="91"/>
        <v>42830.1</v>
      </c>
      <c r="G145" s="54">
        <v>1284.9000000000001</v>
      </c>
      <c r="H145" s="54">
        <v>41545.199999999997</v>
      </c>
      <c r="I145" s="54"/>
      <c r="J145" s="51">
        <f t="shared" si="91"/>
        <v>0</v>
      </c>
      <c r="K145" s="55"/>
      <c r="L145" s="54"/>
      <c r="M145" s="54"/>
      <c r="N145" s="51">
        <f t="shared" si="91"/>
        <v>32449.3</v>
      </c>
      <c r="O145" s="54"/>
      <c r="P145" s="54">
        <v>32449.3</v>
      </c>
      <c r="Q145" s="54"/>
      <c r="R145" s="51">
        <f t="shared" si="92"/>
        <v>26517.3</v>
      </c>
      <c r="S145" s="54"/>
      <c r="T145" s="54">
        <v>26517.3</v>
      </c>
      <c r="U145" s="54"/>
      <c r="V145" s="73">
        <f t="shared" si="76"/>
        <v>0</v>
      </c>
    </row>
    <row r="146" spans="1:22" ht="33">
      <c r="A146" s="57" t="s">
        <v>117</v>
      </c>
      <c r="B146" s="15" t="s">
        <v>118</v>
      </c>
      <c r="C146" s="6" t="s">
        <v>14</v>
      </c>
      <c r="D146" s="6" t="s">
        <v>14</v>
      </c>
      <c r="E146" s="6" t="s">
        <v>14</v>
      </c>
      <c r="F146" s="51">
        <f t="shared" ref="F146:U146" si="93">F148+F149</f>
        <v>143104.4</v>
      </c>
      <c r="G146" s="49">
        <f t="shared" si="93"/>
        <v>130037</v>
      </c>
      <c r="H146" s="49">
        <f t="shared" si="93"/>
        <v>0</v>
      </c>
      <c r="I146" s="49">
        <f t="shared" si="93"/>
        <v>13067.4</v>
      </c>
      <c r="J146" s="51">
        <f t="shared" si="93"/>
        <v>0</v>
      </c>
      <c r="K146" s="51">
        <f t="shared" si="93"/>
        <v>0</v>
      </c>
      <c r="L146" s="51">
        <f t="shared" si="93"/>
        <v>0</v>
      </c>
      <c r="M146" s="49">
        <f t="shared" si="93"/>
        <v>0</v>
      </c>
      <c r="N146" s="51">
        <f t="shared" si="93"/>
        <v>280227.09999999998</v>
      </c>
      <c r="O146" s="49">
        <f t="shared" si="93"/>
        <v>106237.1</v>
      </c>
      <c r="P146" s="49">
        <f t="shared" si="93"/>
        <v>173990</v>
      </c>
      <c r="Q146" s="49">
        <f t="shared" si="93"/>
        <v>0</v>
      </c>
      <c r="R146" s="51">
        <f t="shared" si="93"/>
        <v>254146.3</v>
      </c>
      <c r="S146" s="49">
        <f t="shared" si="93"/>
        <v>7625</v>
      </c>
      <c r="T146" s="49">
        <f t="shared" si="93"/>
        <v>246521.3</v>
      </c>
      <c r="U146" s="49">
        <f t="shared" si="93"/>
        <v>0</v>
      </c>
      <c r="V146" s="70">
        <f t="shared" si="76"/>
        <v>0</v>
      </c>
    </row>
    <row r="147" spans="1:22" ht="18.75">
      <c r="A147" s="58"/>
      <c r="B147" s="16" t="s">
        <v>17</v>
      </c>
      <c r="C147" s="7"/>
      <c r="D147" s="7"/>
      <c r="E147" s="7"/>
      <c r="F147" s="51"/>
      <c r="G147" s="49"/>
      <c r="H147" s="49"/>
      <c r="I147" s="49"/>
      <c r="J147" s="51"/>
      <c r="K147" s="51"/>
      <c r="L147" s="51"/>
      <c r="M147" s="49"/>
      <c r="N147" s="51"/>
      <c r="O147" s="49"/>
      <c r="P147" s="49"/>
      <c r="Q147" s="49"/>
      <c r="R147" s="51"/>
      <c r="S147" s="49"/>
      <c r="T147" s="49"/>
      <c r="U147" s="49"/>
      <c r="V147" s="70"/>
    </row>
    <row r="148" spans="1:22" ht="66">
      <c r="A148" s="58"/>
      <c r="B148" s="17" t="s">
        <v>119</v>
      </c>
      <c r="C148" s="7">
        <v>828</v>
      </c>
      <c r="D148" s="8" t="s">
        <v>120</v>
      </c>
      <c r="E148" s="7" t="s">
        <v>279</v>
      </c>
      <c r="F148" s="51">
        <f t="shared" ref="F148:R149" si="94">G148+H148+I148</f>
        <v>63104.4</v>
      </c>
      <c r="G148" s="54">
        <v>50037</v>
      </c>
      <c r="H148" s="54"/>
      <c r="I148" s="54">
        <v>13067.4</v>
      </c>
      <c r="J148" s="51">
        <f t="shared" si="94"/>
        <v>0</v>
      </c>
      <c r="K148" s="55"/>
      <c r="L148" s="54"/>
      <c r="M148" s="54"/>
      <c r="N148" s="51">
        <f t="shared" si="94"/>
        <v>280227.09999999998</v>
      </c>
      <c r="O148" s="54">
        <v>106237.1</v>
      </c>
      <c r="P148" s="54">
        <v>173990</v>
      </c>
      <c r="Q148" s="54"/>
      <c r="R148" s="51">
        <f t="shared" si="94"/>
        <v>254146.3</v>
      </c>
      <c r="S148" s="54">
        <v>7625</v>
      </c>
      <c r="T148" s="54">
        <v>246521.3</v>
      </c>
      <c r="U148" s="54"/>
      <c r="V148" s="73">
        <f t="shared" si="76"/>
        <v>0</v>
      </c>
    </row>
    <row r="149" spans="1:22" ht="82.5">
      <c r="A149" s="58"/>
      <c r="B149" s="17" t="s">
        <v>370</v>
      </c>
      <c r="C149" s="7">
        <v>828</v>
      </c>
      <c r="D149" s="8" t="s">
        <v>120</v>
      </c>
      <c r="E149" s="7" t="s">
        <v>369</v>
      </c>
      <c r="F149" s="51">
        <f t="shared" si="94"/>
        <v>80000</v>
      </c>
      <c r="G149" s="54">
        <v>80000</v>
      </c>
      <c r="H149" s="54"/>
      <c r="I149" s="54"/>
      <c r="J149" s="51">
        <f t="shared" si="94"/>
        <v>0</v>
      </c>
      <c r="K149" s="55"/>
      <c r="L149" s="54"/>
      <c r="M149" s="54"/>
      <c r="N149" s="51">
        <f t="shared" si="94"/>
        <v>0</v>
      </c>
      <c r="O149" s="54"/>
      <c r="P149" s="54"/>
      <c r="Q149" s="54"/>
      <c r="R149" s="51">
        <f t="shared" si="94"/>
        <v>0</v>
      </c>
      <c r="S149" s="54"/>
      <c r="T149" s="54"/>
      <c r="U149" s="54"/>
      <c r="V149" s="73">
        <f t="shared" si="76"/>
        <v>0</v>
      </c>
    </row>
    <row r="150" spans="1:22" ht="72" customHeight="1">
      <c r="A150" s="57" t="s">
        <v>121</v>
      </c>
      <c r="B150" s="15" t="s">
        <v>122</v>
      </c>
      <c r="C150" s="6" t="s">
        <v>14</v>
      </c>
      <c r="D150" s="6" t="s">
        <v>14</v>
      </c>
      <c r="E150" s="6" t="s">
        <v>14</v>
      </c>
      <c r="F150" s="51">
        <f t="shared" ref="F150:T150" si="95">F152</f>
        <v>22487.5</v>
      </c>
      <c r="G150" s="49">
        <f t="shared" si="95"/>
        <v>20000</v>
      </c>
      <c r="H150" s="49">
        <f t="shared" si="95"/>
        <v>0</v>
      </c>
      <c r="I150" s="49">
        <f t="shared" si="95"/>
        <v>2487.5</v>
      </c>
      <c r="J150" s="51">
        <f t="shared" si="95"/>
        <v>0</v>
      </c>
      <c r="K150" s="51">
        <f t="shared" si="95"/>
        <v>0</v>
      </c>
      <c r="L150" s="51">
        <f t="shared" si="95"/>
        <v>0</v>
      </c>
      <c r="M150" s="49">
        <f t="shared" si="95"/>
        <v>0</v>
      </c>
      <c r="N150" s="51">
        <f t="shared" si="95"/>
        <v>0</v>
      </c>
      <c r="O150" s="49">
        <f t="shared" si="95"/>
        <v>0</v>
      </c>
      <c r="P150" s="49">
        <f t="shared" si="95"/>
        <v>0</v>
      </c>
      <c r="Q150" s="49">
        <f t="shared" si="95"/>
        <v>0</v>
      </c>
      <c r="R150" s="51">
        <f t="shared" si="95"/>
        <v>0</v>
      </c>
      <c r="S150" s="49">
        <f t="shared" si="95"/>
        <v>0</v>
      </c>
      <c r="T150" s="49">
        <f t="shared" si="95"/>
        <v>0</v>
      </c>
      <c r="U150" s="49">
        <f>U152</f>
        <v>0</v>
      </c>
      <c r="V150" s="70">
        <f t="shared" si="76"/>
        <v>0</v>
      </c>
    </row>
    <row r="151" spans="1:22" ht="18.75">
      <c r="A151" s="58"/>
      <c r="B151" s="16" t="s">
        <v>17</v>
      </c>
      <c r="C151" s="7"/>
      <c r="D151" s="7"/>
      <c r="E151" s="7"/>
      <c r="F151" s="51"/>
      <c r="G151" s="49"/>
      <c r="H151" s="49"/>
      <c r="I151" s="49"/>
      <c r="J151" s="51"/>
      <c r="K151" s="51"/>
      <c r="L151" s="51"/>
      <c r="M151" s="49"/>
      <c r="N151" s="51"/>
      <c r="O151" s="49"/>
      <c r="P151" s="49"/>
      <c r="Q151" s="49"/>
      <c r="R151" s="51"/>
      <c r="S151" s="49"/>
      <c r="T151" s="49"/>
      <c r="U151" s="49"/>
      <c r="V151" s="70"/>
    </row>
    <row r="152" spans="1:22" ht="99">
      <c r="A152" s="58"/>
      <c r="B152" s="17" t="s">
        <v>123</v>
      </c>
      <c r="C152" s="7">
        <v>810</v>
      </c>
      <c r="D152" s="8" t="s">
        <v>124</v>
      </c>
      <c r="E152" s="7" t="s">
        <v>312</v>
      </c>
      <c r="F152" s="51">
        <f t="shared" ref="F152:R152" si="96">G152+H152+I152</f>
        <v>22487.5</v>
      </c>
      <c r="G152" s="54">
        <f>10000+10000</f>
        <v>20000</v>
      </c>
      <c r="H152" s="54"/>
      <c r="I152" s="54">
        <v>2487.5</v>
      </c>
      <c r="J152" s="51">
        <f t="shared" si="96"/>
        <v>0</v>
      </c>
      <c r="K152" s="55"/>
      <c r="L152" s="54"/>
      <c r="M152" s="54"/>
      <c r="N152" s="51">
        <f t="shared" si="96"/>
        <v>0</v>
      </c>
      <c r="O152" s="54"/>
      <c r="P152" s="54"/>
      <c r="Q152" s="54"/>
      <c r="R152" s="51">
        <f t="shared" si="96"/>
        <v>0</v>
      </c>
      <c r="S152" s="54"/>
      <c r="T152" s="54"/>
      <c r="U152" s="54"/>
      <c r="V152" s="73">
        <f t="shared" si="76"/>
        <v>0</v>
      </c>
    </row>
    <row r="153" spans="1:22" ht="33">
      <c r="A153" s="57" t="s">
        <v>125</v>
      </c>
      <c r="B153" s="15" t="s">
        <v>126</v>
      </c>
      <c r="C153" s="6" t="s">
        <v>14</v>
      </c>
      <c r="D153" s="6" t="s">
        <v>14</v>
      </c>
      <c r="E153" s="6" t="s">
        <v>14</v>
      </c>
      <c r="F153" s="51">
        <f t="shared" ref="F153:U153" si="97">F155</f>
        <v>4762.2</v>
      </c>
      <c r="G153" s="49">
        <f t="shared" si="97"/>
        <v>4762.2</v>
      </c>
      <c r="H153" s="49">
        <f t="shared" si="97"/>
        <v>0</v>
      </c>
      <c r="I153" s="49">
        <f t="shared" si="97"/>
        <v>0</v>
      </c>
      <c r="J153" s="51">
        <f t="shared" si="97"/>
        <v>0</v>
      </c>
      <c r="K153" s="51">
        <f t="shared" si="97"/>
        <v>0</v>
      </c>
      <c r="L153" s="51">
        <f t="shared" si="97"/>
        <v>0</v>
      </c>
      <c r="M153" s="49">
        <f t="shared" si="97"/>
        <v>0</v>
      </c>
      <c r="N153" s="51">
        <f t="shared" si="97"/>
        <v>31582.2</v>
      </c>
      <c r="O153" s="49">
        <f t="shared" si="97"/>
        <v>1762.2</v>
      </c>
      <c r="P153" s="49">
        <f t="shared" si="97"/>
        <v>29820</v>
      </c>
      <c r="Q153" s="49">
        <f t="shared" si="97"/>
        <v>0</v>
      </c>
      <c r="R153" s="51">
        <f t="shared" si="97"/>
        <v>136907.20000000001</v>
      </c>
      <c r="S153" s="49">
        <f t="shared" si="97"/>
        <v>4107.2</v>
      </c>
      <c r="T153" s="49">
        <f t="shared" si="97"/>
        <v>132800</v>
      </c>
      <c r="U153" s="49">
        <f t="shared" si="97"/>
        <v>0</v>
      </c>
      <c r="V153" s="70">
        <f t="shared" si="76"/>
        <v>0</v>
      </c>
    </row>
    <row r="154" spans="1:22" ht="24" customHeight="1">
      <c r="A154" s="58"/>
      <c r="B154" s="16" t="s">
        <v>17</v>
      </c>
      <c r="C154" s="7"/>
      <c r="D154" s="7"/>
      <c r="E154" s="7"/>
      <c r="F154" s="51"/>
      <c r="G154" s="49"/>
      <c r="H154" s="49"/>
      <c r="I154" s="49"/>
      <c r="J154" s="51"/>
      <c r="K154" s="51"/>
      <c r="L154" s="51"/>
      <c r="M154" s="49"/>
      <c r="N154" s="51"/>
      <c r="O154" s="49"/>
      <c r="P154" s="49"/>
      <c r="Q154" s="49"/>
      <c r="R154" s="51"/>
      <c r="S154" s="49"/>
      <c r="T154" s="49"/>
      <c r="U154" s="49"/>
      <c r="V154" s="70"/>
    </row>
    <row r="155" spans="1:22" ht="82.5">
      <c r="A155" s="58"/>
      <c r="B155" s="17" t="s">
        <v>127</v>
      </c>
      <c r="C155" s="7">
        <v>810</v>
      </c>
      <c r="D155" s="8" t="s">
        <v>124</v>
      </c>
      <c r="E155" s="7" t="s">
        <v>274</v>
      </c>
      <c r="F155" s="51">
        <f t="shared" ref="F155:N155" si="98">G155+H155+I155</f>
        <v>4762.2</v>
      </c>
      <c r="G155" s="54">
        <v>4762.2</v>
      </c>
      <c r="H155" s="54"/>
      <c r="I155" s="54"/>
      <c r="J155" s="51">
        <f t="shared" si="98"/>
        <v>0</v>
      </c>
      <c r="K155" s="55"/>
      <c r="L155" s="54"/>
      <c r="M155" s="54"/>
      <c r="N155" s="51">
        <f t="shared" si="98"/>
        <v>31582.2</v>
      </c>
      <c r="O155" s="54">
        <v>1762.2</v>
      </c>
      <c r="P155" s="54">
        <v>29820</v>
      </c>
      <c r="Q155" s="54"/>
      <c r="R155" s="55">
        <f>S155+T155+U155</f>
        <v>136907.20000000001</v>
      </c>
      <c r="S155" s="54">
        <v>4107.2</v>
      </c>
      <c r="T155" s="54">
        <v>132800</v>
      </c>
      <c r="U155" s="54"/>
      <c r="V155" s="73">
        <f t="shared" si="76"/>
        <v>0</v>
      </c>
    </row>
    <row r="156" spans="1:22" ht="18.75">
      <c r="A156" s="57" t="s">
        <v>284</v>
      </c>
      <c r="B156" s="15" t="s">
        <v>285</v>
      </c>
      <c r="C156" s="6" t="s">
        <v>14</v>
      </c>
      <c r="D156" s="25" t="s">
        <v>14</v>
      </c>
      <c r="E156" s="6" t="s">
        <v>14</v>
      </c>
      <c r="F156" s="51">
        <f t="shared" ref="F156:U156" si="99">F158</f>
        <v>71458.2</v>
      </c>
      <c r="G156" s="49">
        <f t="shared" si="99"/>
        <v>9515.2999999999993</v>
      </c>
      <c r="H156" s="49">
        <f t="shared" si="99"/>
        <v>61942.9</v>
      </c>
      <c r="I156" s="49">
        <f t="shared" si="99"/>
        <v>0</v>
      </c>
      <c r="J156" s="51">
        <f t="shared" si="99"/>
        <v>0</v>
      </c>
      <c r="K156" s="51">
        <f t="shared" si="99"/>
        <v>0</v>
      </c>
      <c r="L156" s="51">
        <f t="shared" si="99"/>
        <v>0</v>
      </c>
      <c r="M156" s="49">
        <f t="shared" si="99"/>
        <v>0</v>
      </c>
      <c r="N156" s="51">
        <f t="shared" si="99"/>
        <v>86539.6</v>
      </c>
      <c r="O156" s="49">
        <f t="shared" si="99"/>
        <v>11523.5</v>
      </c>
      <c r="P156" s="49">
        <f t="shared" si="99"/>
        <v>75016.100000000006</v>
      </c>
      <c r="Q156" s="49">
        <f t="shared" si="99"/>
        <v>0</v>
      </c>
      <c r="R156" s="51">
        <f t="shared" si="99"/>
        <v>90710.2</v>
      </c>
      <c r="S156" s="49">
        <f t="shared" si="99"/>
        <v>12078.9</v>
      </c>
      <c r="T156" s="49">
        <f t="shared" si="99"/>
        <v>78631.3</v>
      </c>
      <c r="U156" s="49">
        <f t="shared" si="99"/>
        <v>0</v>
      </c>
      <c r="V156" s="70">
        <f t="shared" si="76"/>
        <v>0</v>
      </c>
    </row>
    <row r="157" spans="1:22" ht="18.75">
      <c r="A157" s="58"/>
      <c r="B157" s="16" t="s">
        <v>17</v>
      </c>
      <c r="C157" s="7"/>
      <c r="D157" s="8"/>
      <c r="E157" s="7"/>
      <c r="F157" s="51"/>
      <c r="G157" s="49"/>
      <c r="H157" s="49"/>
      <c r="I157" s="49"/>
      <c r="J157" s="51"/>
      <c r="K157" s="51"/>
      <c r="L157" s="51"/>
      <c r="M157" s="49"/>
      <c r="N157" s="51"/>
      <c r="O157" s="49"/>
      <c r="P157" s="49"/>
      <c r="Q157" s="49"/>
      <c r="R157" s="51"/>
      <c r="S157" s="49"/>
      <c r="T157" s="49"/>
      <c r="U157" s="49"/>
      <c r="V157" s="70"/>
    </row>
    <row r="158" spans="1:22" ht="82.5">
      <c r="A158" s="58"/>
      <c r="B158" s="17" t="s">
        <v>287</v>
      </c>
      <c r="C158" s="7">
        <v>810</v>
      </c>
      <c r="D158" s="8" t="s">
        <v>124</v>
      </c>
      <c r="E158" s="7" t="s">
        <v>286</v>
      </c>
      <c r="F158" s="51">
        <f t="shared" ref="F158:R158" si="100">G158+H158+I158</f>
        <v>71458.2</v>
      </c>
      <c r="G158" s="54">
        <v>9515.2999999999993</v>
      </c>
      <c r="H158" s="54">
        <v>61942.9</v>
      </c>
      <c r="I158" s="54"/>
      <c r="J158" s="51">
        <f t="shared" si="100"/>
        <v>0</v>
      </c>
      <c r="K158" s="55"/>
      <c r="L158" s="54"/>
      <c r="M158" s="54"/>
      <c r="N158" s="51">
        <f t="shared" si="100"/>
        <v>86539.6</v>
      </c>
      <c r="O158" s="54">
        <v>11523.5</v>
      </c>
      <c r="P158" s="54">
        <v>75016.100000000006</v>
      </c>
      <c r="Q158" s="54"/>
      <c r="R158" s="51">
        <f t="shared" si="100"/>
        <v>90710.2</v>
      </c>
      <c r="S158" s="54">
        <v>12078.9</v>
      </c>
      <c r="T158" s="54">
        <v>78631.3</v>
      </c>
      <c r="U158" s="54"/>
      <c r="V158" s="73">
        <f t="shared" si="76"/>
        <v>0</v>
      </c>
    </row>
    <row r="159" spans="1:22" ht="33">
      <c r="A159" s="59" t="s">
        <v>128</v>
      </c>
      <c r="B159" s="22" t="s">
        <v>129</v>
      </c>
      <c r="C159" s="1" t="s">
        <v>14</v>
      </c>
      <c r="D159" s="1" t="s">
        <v>14</v>
      </c>
      <c r="E159" s="1" t="s">
        <v>14</v>
      </c>
      <c r="F159" s="48">
        <f t="shared" ref="F159:U159" si="101">F160+F167</f>
        <v>3452484.3</v>
      </c>
      <c r="G159" s="48">
        <f t="shared" si="101"/>
        <v>2173784.2999999998</v>
      </c>
      <c r="H159" s="48">
        <f t="shared" si="101"/>
        <v>1010000</v>
      </c>
      <c r="I159" s="48">
        <f t="shared" si="101"/>
        <v>268700</v>
      </c>
      <c r="J159" s="48">
        <f t="shared" si="101"/>
        <v>525591.5</v>
      </c>
      <c r="K159" s="48">
        <f t="shared" si="101"/>
        <v>518591.5</v>
      </c>
      <c r="L159" s="48">
        <f t="shared" si="101"/>
        <v>0</v>
      </c>
      <c r="M159" s="48">
        <f t="shared" si="101"/>
        <v>7000</v>
      </c>
      <c r="N159" s="48">
        <f t="shared" si="101"/>
        <v>4568413.0999999996</v>
      </c>
      <c r="O159" s="48">
        <f t="shared" si="101"/>
        <v>3499622.5</v>
      </c>
      <c r="P159" s="48">
        <f t="shared" si="101"/>
        <v>680000</v>
      </c>
      <c r="Q159" s="48">
        <f t="shared" si="101"/>
        <v>388790.6</v>
      </c>
      <c r="R159" s="48">
        <f t="shared" si="101"/>
        <v>4468687.4000000004</v>
      </c>
      <c r="S159" s="48">
        <f t="shared" si="101"/>
        <v>4418687.4000000004</v>
      </c>
      <c r="T159" s="48">
        <f t="shared" si="101"/>
        <v>0</v>
      </c>
      <c r="U159" s="48">
        <f t="shared" si="101"/>
        <v>50000</v>
      </c>
      <c r="V159" s="69">
        <f t="shared" si="76"/>
        <v>0.152</v>
      </c>
    </row>
    <row r="160" spans="1:22" ht="33">
      <c r="A160" s="57" t="s">
        <v>130</v>
      </c>
      <c r="B160" s="15" t="s">
        <v>131</v>
      </c>
      <c r="C160" s="6" t="s">
        <v>14</v>
      </c>
      <c r="D160" s="6" t="s">
        <v>14</v>
      </c>
      <c r="E160" s="6" t="s">
        <v>14</v>
      </c>
      <c r="F160" s="51">
        <f t="shared" ref="F160:U160" si="102">SUM(F162:F166)</f>
        <v>3446984.3</v>
      </c>
      <c r="G160" s="51">
        <f t="shared" si="102"/>
        <v>2168284.2999999998</v>
      </c>
      <c r="H160" s="51">
        <f t="shared" si="102"/>
        <v>1010000</v>
      </c>
      <c r="I160" s="51">
        <f t="shared" si="102"/>
        <v>268700</v>
      </c>
      <c r="J160" s="51">
        <f t="shared" si="102"/>
        <v>525591.5</v>
      </c>
      <c r="K160" s="51">
        <f t="shared" si="102"/>
        <v>518591.5</v>
      </c>
      <c r="L160" s="51">
        <f t="shared" si="102"/>
        <v>0</v>
      </c>
      <c r="M160" s="51">
        <f t="shared" si="102"/>
        <v>7000</v>
      </c>
      <c r="N160" s="51">
        <f t="shared" si="102"/>
        <v>4506413.0999999996</v>
      </c>
      <c r="O160" s="51">
        <f t="shared" si="102"/>
        <v>3437622.5</v>
      </c>
      <c r="P160" s="51">
        <f t="shared" si="102"/>
        <v>680000</v>
      </c>
      <c r="Q160" s="51">
        <f t="shared" si="102"/>
        <v>388790.6</v>
      </c>
      <c r="R160" s="51">
        <f t="shared" si="102"/>
        <v>4414937.4000000004</v>
      </c>
      <c r="S160" s="51">
        <f t="shared" si="102"/>
        <v>4364937.4000000004</v>
      </c>
      <c r="T160" s="51">
        <f t="shared" si="102"/>
        <v>0</v>
      </c>
      <c r="U160" s="51">
        <f t="shared" si="102"/>
        <v>50000</v>
      </c>
      <c r="V160" s="71">
        <f t="shared" si="76"/>
        <v>0.152</v>
      </c>
    </row>
    <row r="161" spans="1:22" ht="18.75">
      <c r="A161" s="58"/>
      <c r="B161" s="16" t="s">
        <v>17</v>
      </c>
      <c r="C161" s="7"/>
      <c r="D161" s="7"/>
      <c r="E161" s="7"/>
      <c r="F161" s="51"/>
      <c r="G161" s="49"/>
      <c r="H161" s="49"/>
      <c r="I161" s="49"/>
      <c r="J161" s="51"/>
      <c r="K161" s="51"/>
      <c r="L161" s="49"/>
      <c r="M161" s="49"/>
      <c r="N161" s="51"/>
      <c r="O161" s="49"/>
      <c r="P161" s="49"/>
      <c r="Q161" s="49"/>
      <c r="R161" s="51"/>
      <c r="S161" s="49"/>
      <c r="T161" s="49"/>
      <c r="U161" s="49"/>
      <c r="V161" s="70"/>
    </row>
    <row r="162" spans="1:22" ht="66">
      <c r="A162" s="58"/>
      <c r="B162" s="17" t="s">
        <v>132</v>
      </c>
      <c r="C162" s="7">
        <v>822</v>
      </c>
      <c r="D162" s="8" t="s">
        <v>133</v>
      </c>
      <c r="E162" s="7" t="s">
        <v>278</v>
      </c>
      <c r="F162" s="51">
        <f t="shared" ref="F162:R166" si="103">G162+H162+I162</f>
        <v>3443604.3</v>
      </c>
      <c r="G162" s="54">
        <v>2164904.2999999998</v>
      </c>
      <c r="H162" s="54">
        <v>1010000</v>
      </c>
      <c r="I162" s="54">
        <v>268700</v>
      </c>
      <c r="J162" s="51">
        <f t="shared" si="103"/>
        <v>525481.6</v>
      </c>
      <c r="K162" s="55">
        <f>96.8+449956.36+24064.25+44364.15</f>
        <v>518481.6</v>
      </c>
      <c r="L162" s="54"/>
      <c r="M162" s="54">
        <v>7000</v>
      </c>
      <c r="N162" s="51">
        <f t="shared" si="103"/>
        <v>4503033.0999999996</v>
      </c>
      <c r="O162" s="54">
        <v>3434242.5</v>
      </c>
      <c r="P162" s="54">
        <v>680000</v>
      </c>
      <c r="Q162" s="54">
        <v>388790.6</v>
      </c>
      <c r="R162" s="51">
        <f t="shared" si="103"/>
        <v>4411557.4000000004</v>
      </c>
      <c r="S162" s="54">
        <v>4361557.4000000004</v>
      </c>
      <c r="T162" s="54"/>
      <c r="U162" s="54">
        <v>50000</v>
      </c>
      <c r="V162" s="73">
        <f t="shared" si="76"/>
        <v>0.153</v>
      </c>
    </row>
    <row r="163" spans="1:22" ht="66">
      <c r="A163" s="58"/>
      <c r="B163" s="17" t="s">
        <v>132</v>
      </c>
      <c r="C163" s="7">
        <v>811</v>
      </c>
      <c r="D163" s="8" t="s">
        <v>19</v>
      </c>
      <c r="E163" s="7" t="s">
        <v>372</v>
      </c>
      <c r="F163" s="51">
        <f t="shared" si="103"/>
        <v>367.5</v>
      </c>
      <c r="G163" s="54">
        <v>367.5</v>
      </c>
      <c r="H163" s="54"/>
      <c r="I163" s="54"/>
      <c r="J163" s="51">
        <f t="shared" si="103"/>
        <v>0</v>
      </c>
      <c r="K163" s="55"/>
      <c r="L163" s="54"/>
      <c r="M163" s="54"/>
      <c r="N163" s="51">
        <f t="shared" si="103"/>
        <v>0</v>
      </c>
      <c r="O163" s="54"/>
      <c r="P163" s="54"/>
      <c r="Q163" s="54"/>
      <c r="R163" s="51">
        <f t="shared" si="103"/>
        <v>0</v>
      </c>
      <c r="S163" s="54"/>
      <c r="T163" s="54"/>
      <c r="U163" s="54"/>
      <c r="V163" s="73">
        <f t="shared" si="76"/>
        <v>0</v>
      </c>
    </row>
    <row r="164" spans="1:22" ht="66">
      <c r="A164" s="58"/>
      <c r="B164" s="17" t="s">
        <v>132</v>
      </c>
      <c r="C164" s="7">
        <v>815</v>
      </c>
      <c r="D164" s="8" t="s">
        <v>66</v>
      </c>
      <c r="E164" s="7" t="s">
        <v>372</v>
      </c>
      <c r="F164" s="51">
        <f t="shared" si="103"/>
        <v>2931.5</v>
      </c>
      <c r="G164" s="54">
        <v>2931.5</v>
      </c>
      <c r="H164" s="54"/>
      <c r="I164" s="54"/>
      <c r="J164" s="51">
        <f t="shared" si="103"/>
        <v>109.9</v>
      </c>
      <c r="K164" s="55">
        <f>9.9+100</f>
        <v>109.9</v>
      </c>
      <c r="L164" s="54"/>
      <c r="M164" s="54"/>
      <c r="N164" s="51">
        <f t="shared" si="103"/>
        <v>0</v>
      </c>
      <c r="O164" s="54"/>
      <c r="P164" s="54"/>
      <c r="Q164" s="54"/>
      <c r="R164" s="51">
        <f t="shared" si="103"/>
        <v>0</v>
      </c>
      <c r="S164" s="54"/>
      <c r="T164" s="54"/>
      <c r="U164" s="54"/>
      <c r="V164" s="73">
        <f t="shared" si="76"/>
        <v>3.6999999999999998E-2</v>
      </c>
    </row>
    <row r="165" spans="1:22" ht="66">
      <c r="A165" s="58"/>
      <c r="B165" s="17" t="s">
        <v>132</v>
      </c>
      <c r="C165" s="7">
        <v>816</v>
      </c>
      <c r="D165" s="8" t="s">
        <v>71</v>
      </c>
      <c r="E165" s="7" t="s">
        <v>372</v>
      </c>
      <c r="F165" s="51">
        <f t="shared" si="103"/>
        <v>81</v>
      </c>
      <c r="G165" s="54">
        <v>81</v>
      </c>
      <c r="H165" s="54"/>
      <c r="I165" s="54"/>
      <c r="J165" s="51">
        <f t="shared" si="103"/>
        <v>0</v>
      </c>
      <c r="K165" s="55"/>
      <c r="L165" s="54"/>
      <c r="M165" s="54"/>
      <c r="N165" s="51">
        <f t="shared" si="103"/>
        <v>0</v>
      </c>
      <c r="O165" s="54"/>
      <c r="P165" s="54"/>
      <c r="Q165" s="54"/>
      <c r="R165" s="51">
        <f t="shared" si="103"/>
        <v>0</v>
      </c>
      <c r="S165" s="54"/>
      <c r="T165" s="54"/>
      <c r="U165" s="54"/>
      <c r="V165" s="73">
        <f t="shared" si="76"/>
        <v>0</v>
      </c>
    </row>
    <row r="166" spans="1:22" ht="71.25" customHeight="1">
      <c r="A166" s="58"/>
      <c r="B166" s="17" t="s">
        <v>132</v>
      </c>
      <c r="C166" s="7">
        <v>845</v>
      </c>
      <c r="D166" s="8" t="s">
        <v>376</v>
      </c>
      <c r="E166" s="7" t="s">
        <v>372</v>
      </c>
      <c r="F166" s="51">
        <f t="shared" si="103"/>
        <v>0</v>
      </c>
      <c r="G166" s="54"/>
      <c r="H166" s="54"/>
      <c r="I166" s="54"/>
      <c r="J166" s="51">
        <f t="shared" si="103"/>
        <v>0</v>
      </c>
      <c r="K166" s="55"/>
      <c r="L166" s="54"/>
      <c r="M166" s="54"/>
      <c r="N166" s="51">
        <f t="shared" si="103"/>
        <v>3380</v>
      </c>
      <c r="O166" s="54">
        <v>3380</v>
      </c>
      <c r="P166" s="54"/>
      <c r="Q166" s="54"/>
      <c r="R166" s="51">
        <f t="shared" si="103"/>
        <v>3380</v>
      </c>
      <c r="S166" s="54">
        <v>3380</v>
      </c>
      <c r="T166" s="54"/>
      <c r="U166" s="54"/>
      <c r="V166" s="73"/>
    </row>
    <row r="167" spans="1:22" ht="49.5">
      <c r="A167" s="57" t="s">
        <v>373</v>
      </c>
      <c r="B167" s="15" t="s">
        <v>366</v>
      </c>
      <c r="C167" s="6" t="s">
        <v>14</v>
      </c>
      <c r="D167" s="6" t="s">
        <v>14</v>
      </c>
      <c r="E167" s="6" t="s">
        <v>14</v>
      </c>
      <c r="F167" s="51">
        <f t="shared" ref="F167:U167" si="104">SUM(F169)</f>
        <v>5500</v>
      </c>
      <c r="G167" s="49">
        <f t="shared" si="104"/>
        <v>5500</v>
      </c>
      <c r="H167" s="49">
        <f t="shared" ref="H167" si="105">SUM(H169)</f>
        <v>0</v>
      </c>
      <c r="I167" s="49">
        <f t="shared" si="104"/>
        <v>0</v>
      </c>
      <c r="J167" s="51">
        <f t="shared" si="104"/>
        <v>0</v>
      </c>
      <c r="K167" s="51">
        <f t="shared" si="104"/>
        <v>0</v>
      </c>
      <c r="L167" s="49">
        <f t="shared" si="104"/>
        <v>0</v>
      </c>
      <c r="M167" s="49">
        <f t="shared" si="104"/>
        <v>0</v>
      </c>
      <c r="N167" s="51">
        <f t="shared" si="104"/>
        <v>62000</v>
      </c>
      <c r="O167" s="49">
        <f t="shared" si="104"/>
        <v>62000</v>
      </c>
      <c r="P167" s="49">
        <f t="shared" si="104"/>
        <v>0</v>
      </c>
      <c r="Q167" s="49">
        <f t="shared" si="104"/>
        <v>0</v>
      </c>
      <c r="R167" s="51">
        <f t="shared" si="104"/>
        <v>53750</v>
      </c>
      <c r="S167" s="49">
        <f t="shared" si="104"/>
        <v>53750</v>
      </c>
      <c r="T167" s="49">
        <f t="shared" si="104"/>
        <v>0</v>
      </c>
      <c r="U167" s="49">
        <f t="shared" si="104"/>
        <v>0</v>
      </c>
      <c r="V167" s="70">
        <f t="shared" si="76"/>
        <v>0</v>
      </c>
    </row>
    <row r="168" spans="1:22" ht="18.75">
      <c r="A168" s="58"/>
      <c r="B168" s="16" t="s">
        <v>17</v>
      </c>
      <c r="C168" s="7"/>
      <c r="D168" s="7"/>
      <c r="E168" s="7"/>
      <c r="F168" s="51"/>
      <c r="G168" s="49"/>
      <c r="H168" s="49"/>
      <c r="I168" s="49"/>
      <c r="J168" s="51"/>
      <c r="K168" s="51"/>
      <c r="L168" s="49"/>
      <c r="M168" s="49"/>
      <c r="N168" s="51"/>
      <c r="O168" s="49"/>
      <c r="P168" s="49"/>
      <c r="Q168" s="49"/>
      <c r="R168" s="51"/>
      <c r="S168" s="49"/>
      <c r="T168" s="49"/>
      <c r="U168" s="49"/>
      <c r="V168" s="70"/>
    </row>
    <row r="169" spans="1:22" ht="66">
      <c r="A169" s="58"/>
      <c r="B169" s="17" t="s">
        <v>367</v>
      </c>
      <c r="C169" s="7">
        <v>822</v>
      </c>
      <c r="D169" s="8" t="s">
        <v>133</v>
      </c>
      <c r="E169" s="7" t="s">
        <v>368</v>
      </c>
      <c r="F169" s="51">
        <f t="shared" ref="F169:R169" si="106">G169+H169+I169</f>
        <v>5500</v>
      </c>
      <c r="G169" s="54">
        <v>5500</v>
      </c>
      <c r="H169" s="54"/>
      <c r="I169" s="54"/>
      <c r="J169" s="51">
        <f t="shared" si="106"/>
        <v>0</v>
      </c>
      <c r="K169" s="55"/>
      <c r="L169" s="54"/>
      <c r="M169" s="54"/>
      <c r="N169" s="51">
        <f t="shared" si="106"/>
        <v>62000</v>
      </c>
      <c r="O169" s="54">
        <v>62000</v>
      </c>
      <c r="P169" s="54"/>
      <c r="Q169" s="54"/>
      <c r="R169" s="51">
        <f t="shared" si="106"/>
        <v>53750</v>
      </c>
      <c r="S169" s="54">
        <v>53750</v>
      </c>
      <c r="T169" s="54"/>
      <c r="U169" s="54"/>
      <c r="V169" s="73">
        <f t="shared" si="76"/>
        <v>0</v>
      </c>
    </row>
    <row r="170" spans="1:22" ht="18.75">
      <c r="A170" s="59" t="s">
        <v>134</v>
      </c>
      <c r="B170" s="21" t="s">
        <v>135</v>
      </c>
      <c r="C170" s="1" t="s">
        <v>14</v>
      </c>
      <c r="D170" s="1" t="s">
        <v>14</v>
      </c>
      <c r="E170" s="1" t="s">
        <v>14</v>
      </c>
      <c r="F170" s="48">
        <f t="shared" ref="F170:U170" si="107">F171+F179+F182</f>
        <v>88649.3</v>
      </c>
      <c r="G170" s="48">
        <f t="shared" si="107"/>
        <v>54775.1</v>
      </c>
      <c r="H170" s="48">
        <f t="shared" ref="H170" si="108">H171+H179+H182</f>
        <v>33218.199999999997</v>
      </c>
      <c r="I170" s="48">
        <f t="shared" si="107"/>
        <v>656</v>
      </c>
      <c r="J170" s="48">
        <f t="shared" si="107"/>
        <v>1151.3</v>
      </c>
      <c r="K170" s="48">
        <f t="shared" si="107"/>
        <v>1151.3</v>
      </c>
      <c r="L170" s="48">
        <f t="shared" si="107"/>
        <v>0</v>
      </c>
      <c r="M170" s="48">
        <f t="shared" si="107"/>
        <v>0</v>
      </c>
      <c r="N170" s="48">
        <f t="shared" si="107"/>
        <v>54810.8</v>
      </c>
      <c r="O170" s="48">
        <f t="shared" si="107"/>
        <v>32512.3</v>
      </c>
      <c r="P170" s="48">
        <f t="shared" si="107"/>
        <v>22148.5</v>
      </c>
      <c r="Q170" s="48">
        <f t="shared" si="107"/>
        <v>150</v>
      </c>
      <c r="R170" s="48">
        <f t="shared" si="107"/>
        <v>99460.4</v>
      </c>
      <c r="S170" s="48">
        <f t="shared" si="107"/>
        <v>1836.1</v>
      </c>
      <c r="T170" s="48">
        <f t="shared" si="107"/>
        <v>97624.3</v>
      </c>
      <c r="U170" s="48">
        <f t="shared" si="107"/>
        <v>0</v>
      </c>
      <c r="V170" s="69">
        <f t="shared" si="76"/>
        <v>1.2999999999999999E-2</v>
      </c>
    </row>
    <row r="171" spans="1:22" ht="33">
      <c r="A171" s="57" t="s">
        <v>136</v>
      </c>
      <c r="B171" s="15" t="s">
        <v>137</v>
      </c>
      <c r="C171" s="6" t="s">
        <v>14</v>
      </c>
      <c r="D171" s="6" t="s">
        <v>14</v>
      </c>
      <c r="E171" s="6" t="s">
        <v>14</v>
      </c>
      <c r="F171" s="51">
        <f t="shared" ref="F171:T171" si="109">SUM(F173:F178)</f>
        <v>47189.3</v>
      </c>
      <c r="G171" s="49">
        <f t="shared" si="109"/>
        <v>13315.1</v>
      </c>
      <c r="H171" s="49">
        <f t="shared" ref="H171" si="110">SUM(H173:H178)</f>
        <v>33218.199999999997</v>
      </c>
      <c r="I171" s="49">
        <f t="shared" si="109"/>
        <v>656</v>
      </c>
      <c r="J171" s="51">
        <f t="shared" si="109"/>
        <v>0</v>
      </c>
      <c r="K171" s="51">
        <f t="shared" si="109"/>
        <v>0</v>
      </c>
      <c r="L171" s="49">
        <f t="shared" si="109"/>
        <v>0</v>
      </c>
      <c r="M171" s="49">
        <f t="shared" si="109"/>
        <v>0</v>
      </c>
      <c r="N171" s="51">
        <f t="shared" si="109"/>
        <v>25810.799999999999</v>
      </c>
      <c r="O171" s="49">
        <f t="shared" si="109"/>
        <v>3512.3</v>
      </c>
      <c r="P171" s="49">
        <f t="shared" si="109"/>
        <v>22148.5</v>
      </c>
      <c r="Q171" s="49">
        <f t="shared" si="109"/>
        <v>150</v>
      </c>
      <c r="R171" s="51">
        <f t="shared" si="109"/>
        <v>93760.4</v>
      </c>
      <c r="S171" s="49">
        <f t="shared" si="109"/>
        <v>1836.1</v>
      </c>
      <c r="T171" s="49">
        <f t="shared" si="109"/>
        <v>91924.3</v>
      </c>
      <c r="U171" s="49">
        <f>SUM(U173:U178)</f>
        <v>0</v>
      </c>
      <c r="V171" s="70">
        <f t="shared" si="76"/>
        <v>0</v>
      </c>
    </row>
    <row r="172" spans="1:22" ht="18.75">
      <c r="A172" s="58"/>
      <c r="B172" s="16" t="s">
        <v>17</v>
      </c>
      <c r="C172" s="7"/>
      <c r="D172" s="7"/>
      <c r="E172" s="7"/>
      <c r="F172" s="51"/>
      <c r="G172" s="49"/>
      <c r="H172" s="49"/>
      <c r="I172" s="49"/>
      <c r="J172" s="51"/>
      <c r="K172" s="51"/>
      <c r="L172" s="49"/>
      <c r="M172" s="49"/>
      <c r="N172" s="51"/>
      <c r="O172" s="49"/>
      <c r="P172" s="49"/>
      <c r="Q172" s="49"/>
      <c r="R172" s="51"/>
      <c r="S172" s="49"/>
      <c r="T172" s="49"/>
      <c r="U172" s="49"/>
      <c r="V172" s="70"/>
    </row>
    <row r="173" spans="1:22" ht="66">
      <c r="A173" s="60"/>
      <c r="B173" s="66" t="s">
        <v>260</v>
      </c>
      <c r="C173" s="31">
        <v>821</v>
      </c>
      <c r="D173" s="33" t="s">
        <v>21</v>
      </c>
      <c r="E173" s="31" t="s">
        <v>261</v>
      </c>
      <c r="F173" s="49">
        <f t="shared" ref="F173:R178" si="111">G173+H173+I173</f>
        <v>15238.4</v>
      </c>
      <c r="G173" s="54">
        <f>2479</f>
        <v>2479</v>
      </c>
      <c r="H173" s="54">
        <v>12103.4</v>
      </c>
      <c r="I173" s="54">
        <v>656</v>
      </c>
      <c r="J173" s="49">
        <f t="shared" si="111"/>
        <v>0</v>
      </c>
      <c r="K173" s="54"/>
      <c r="L173" s="54"/>
      <c r="M173" s="54"/>
      <c r="N173" s="49">
        <f t="shared" si="111"/>
        <v>20660.8</v>
      </c>
      <c r="O173" s="54">
        <v>3512.3</v>
      </c>
      <c r="P173" s="54">
        <v>17148.5</v>
      </c>
      <c r="Q173" s="54"/>
      <c r="R173" s="49">
        <f t="shared" si="111"/>
        <v>0</v>
      </c>
      <c r="S173" s="54"/>
      <c r="T173" s="54"/>
      <c r="U173" s="54"/>
      <c r="V173" s="73">
        <f t="shared" si="76"/>
        <v>0</v>
      </c>
    </row>
    <row r="174" spans="1:22" ht="49.5">
      <c r="A174" s="60"/>
      <c r="B174" s="66" t="s">
        <v>260</v>
      </c>
      <c r="C174" s="31">
        <v>814</v>
      </c>
      <c r="D174" s="33" t="s">
        <v>138</v>
      </c>
      <c r="E174" s="31" t="s">
        <v>261</v>
      </c>
      <c r="F174" s="49">
        <f t="shared" si="111"/>
        <v>22950.9</v>
      </c>
      <c r="G174" s="54">
        <f>1836.1-0.03</f>
        <v>1836.1</v>
      </c>
      <c r="H174" s="54">
        <v>21114.799999999999</v>
      </c>
      <c r="I174" s="54"/>
      <c r="J174" s="49">
        <f t="shared" si="111"/>
        <v>0</v>
      </c>
      <c r="K174" s="54"/>
      <c r="L174" s="54"/>
      <c r="M174" s="54"/>
      <c r="N174" s="49">
        <f t="shared" si="111"/>
        <v>150</v>
      </c>
      <c r="O174" s="54"/>
      <c r="P174" s="54"/>
      <c r="Q174" s="54">
        <v>150</v>
      </c>
      <c r="R174" s="49">
        <f t="shared" si="111"/>
        <v>22950.9</v>
      </c>
      <c r="S174" s="54">
        <f>1836.1-0.03</f>
        <v>1836.1</v>
      </c>
      <c r="T174" s="54">
        <v>21114.799999999999</v>
      </c>
      <c r="U174" s="54"/>
      <c r="V174" s="73">
        <f t="shared" si="76"/>
        <v>0</v>
      </c>
    </row>
    <row r="175" spans="1:22" ht="66">
      <c r="A175" s="60"/>
      <c r="B175" s="34" t="s">
        <v>258</v>
      </c>
      <c r="C175" s="31">
        <v>844</v>
      </c>
      <c r="D175" s="33" t="s">
        <v>257</v>
      </c>
      <c r="E175" s="31" t="s">
        <v>259</v>
      </c>
      <c r="F175" s="49">
        <f t="shared" si="111"/>
        <v>0</v>
      </c>
      <c r="G175" s="54"/>
      <c r="H175" s="54"/>
      <c r="I175" s="54"/>
      <c r="J175" s="49">
        <f t="shared" si="111"/>
        <v>0</v>
      </c>
      <c r="K175" s="54"/>
      <c r="L175" s="54"/>
      <c r="M175" s="54"/>
      <c r="N175" s="49">
        <f t="shared" si="111"/>
        <v>0</v>
      </c>
      <c r="O175" s="54"/>
      <c r="P175" s="54"/>
      <c r="Q175" s="54"/>
      <c r="R175" s="49">
        <f t="shared" si="111"/>
        <v>65809.5</v>
      </c>
      <c r="S175" s="54"/>
      <c r="T175" s="54">
        <v>65809.5</v>
      </c>
      <c r="U175" s="54"/>
      <c r="V175" s="73"/>
    </row>
    <row r="176" spans="1:22" ht="49.5">
      <c r="A176" s="60"/>
      <c r="B176" s="34" t="s">
        <v>255</v>
      </c>
      <c r="C176" s="31">
        <v>814</v>
      </c>
      <c r="D176" s="33" t="s">
        <v>138</v>
      </c>
      <c r="E176" s="31" t="s">
        <v>256</v>
      </c>
      <c r="F176" s="49">
        <f t="shared" si="111"/>
        <v>0</v>
      </c>
      <c r="G176" s="54"/>
      <c r="H176" s="54"/>
      <c r="I176" s="54"/>
      <c r="J176" s="49">
        <f t="shared" si="111"/>
        <v>0</v>
      </c>
      <c r="K176" s="54"/>
      <c r="L176" s="54"/>
      <c r="M176" s="54"/>
      <c r="N176" s="49">
        <f t="shared" si="111"/>
        <v>5000</v>
      </c>
      <c r="O176" s="54"/>
      <c r="P176" s="54">
        <v>5000</v>
      </c>
      <c r="Q176" s="54"/>
      <c r="R176" s="49">
        <f t="shared" si="111"/>
        <v>5000</v>
      </c>
      <c r="S176" s="54"/>
      <c r="T176" s="54">
        <v>5000</v>
      </c>
      <c r="U176" s="54"/>
      <c r="V176" s="73"/>
    </row>
    <row r="177" spans="1:22" ht="49.5">
      <c r="A177" s="60"/>
      <c r="B177" s="34" t="s">
        <v>260</v>
      </c>
      <c r="C177" s="31">
        <v>814</v>
      </c>
      <c r="D177" s="33" t="s">
        <v>138</v>
      </c>
      <c r="E177" s="31" t="s">
        <v>374</v>
      </c>
      <c r="F177" s="49">
        <f t="shared" si="111"/>
        <v>4000</v>
      </c>
      <c r="G177" s="54">
        <v>4000</v>
      </c>
      <c r="H177" s="54"/>
      <c r="I177" s="54"/>
      <c r="J177" s="49">
        <f t="shared" si="111"/>
        <v>0</v>
      </c>
      <c r="K177" s="54"/>
      <c r="L177" s="54"/>
      <c r="M177" s="54"/>
      <c r="N177" s="49">
        <f t="shared" si="111"/>
        <v>0</v>
      </c>
      <c r="O177" s="54"/>
      <c r="P177" s="54"/>
      <c r="Q177" s="54"/>
      <c r="R177" s="49">
        <f t="shared" si="111"/>
        <v>0</v>
      </c>
      <c r="S177" s="54"/>
      <c r="T177" s="54"/>
      <c r="U177" s="54"/>
      <c r="V177" s="73">
        <f t="shared" si="76"/>
        <v>0</v>
      </c>
    </row>
    <row r="178" spans="1:22" ht="49.5">
      <c r="A178" s="60"/>
      <c r="B178" s="34" t="s">
        <v>255</v>
      </c>
      <c r="C178" s="31">
        <v>814</v>
      </c>
      <c r="D178" s="33" t="s">
        <v>138</v>
      </c>
      <c r="E178" s="31" t="s">
        <v>337</v>
      </c>
      <c r="F178" s="49">
        <f t="shared" si="111"/>
        <v>5000</v>
      </c>
      <c r="G178" s="54">
        <v>5000</v>
      </c>
      <c r="H178" s="54"/>
      <c r="I178" s="54"/>
      <c r="J178" s="49">
        <f t="shared" si="111"/>
        <v>0</v>
      </c>
      <c r="K178" s="54"/>
      <c r="L178" s="54"/>
      <c r="M178" s="54"/>
      <c r="N178" s="49">
        <f t="shared" si="111"/>
        <v>0</v>
      </c>
      <c r="O178" s="54"/>
      <c r="P178" s="54"/>
      <c r="Q178" s="54"/>
      <c r="R178" s="49">
        <f t="shared" si="111"/>
        <v>0</v>
      </c>
      <c r="S178" s="54"/>
      <c r="T178" s="54"/>
      <c r="U178" s="54"/>
      <c r="V178" s="73">
        <f t="shared" ref="V178:V229" si="112">J178/F178</f>
        <v>0</v>
      </c>
    </row>
    <row r="179" spans="1:22" ht="33">
      <c r="A179" s="43" t="s">
        <v>139</v>
      </c>
      <c r="B179" s="28" t="s">
        <v>140</v>
      </c>
      <c r="C179" s="29" t="s">
        <v>14</v>
      </c>
      <c r="D179" s="29" t="s">
        <v>14</v>
      </c>
      <c r="E179" s="29" t="s">
        <v>14</v>
      </c>
      <c r="F179" s="49">
        <f t="shared" ref="F179:U179" si="113">SUM(F181)</f>
        <v>0</v>
      </c>
      <c r="G179" s="49">
        <f t="shared" si="113"/>
        <v>0</v>
      </c>
      <c r="H179" s="49">
        <f t="shared" ref="H179" si="114">SUM(H181)</f>
        <v>0</v>
      </c>
      <c r="I179" s="49">
        <f t="shared" si="113"/>
        <v>0</v>
      </c>
      <c r="J179" s="49">
        <f t="shared" si="113"/>
        <v>0</v>
      </c>
      <c r="K179" s="49">
        <f t="shared" si="113"/>
        <v>0</v>
      </c>
      <c r="L179" s="49">
        <f t="shared" si="113"/>
        <v>0</v>
      </c>
      <c r="M179" s="49">
        <f t="shared" si="113"/>
        <v>0</v>
      </c>
      <c r="N179" s="49">
        <f t="shared" si="113"/>
        <v>0</v>
      </c>
      <c r="O179" s="49">
        <f t="shared" si="113"/>
        <v>0</v>
      </c>
      <c r="P179" s="49">
        <f t="shared" si="113"/>
        <v>0</v>
      </c>
      <c r="Q179" s="49">
        <f t="shared" si="113"/>
        <v>0</v>
      </c>
      <c r="R179" s="49">
        <f t="shared" si="113"/>
        <v>5700</v>
      </c>
      <c r="S179" s="49">
        <f t="shared" si="113"/>
        <v>0</v>
      </c>
      <c r="T179" s="49">
        <f t="shared" si="113"/>
        <v>5700</v>
      </c>
      <c r="U179" s="49">
        <f t="shared" si="113"/>
        <v>0</v>
      </c>
      <c r="V179" s="70"/>
    </row>
    <row r="180" spans="1:22" ht="18.75">
      <c r="A180" s="60"/>
      <c r="B180" s="32" t="s">
        <v>17</v>
      </c>
      <c r="C180" s="31"/>
      <c r="D180" s="33"/>
      <c r="E180" s="31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70"/>
    </row>
    <row r="181" spans="1:22" ht="49.5">
      <c r="A181" s="60"/>
      <c r="B181" s="34" t="s">
        <v>141</v>
      </c>
      <c r="C181" s="31">
        <v>814</v>
      </c>
      <c r="D181" s="33" t="s">
        <v>138</v>
      </c>
      <c r="E181" s="31" t="s">
        <v>262</v>
      </c>
      <c r="F181" s="49">
        <f t="shared" ref="F181:R181" si="115">G181+H181+I181</f>
        <v>0</v>
      </c>
      <c r="G181" s="54"/>
      <c r="H181" s="54"/>
      <c r="I181" s="54"/>
      <c r="J181" s="49">
        <f t="shared" si="115"/>
        <v>0</v>
      </c>
      <c r="K181" s="54"/>
      <c r="L181" s="54"/>
      <c r="M181" s="54"/>
      <c r="N181" s="49">
        <f t="shared" si="115"/>
        <v>0</v>
      </c>
      <c r="O181" s="54"/>
      <c r="P181" s="54"/>
      <c r="Q181" s="54"/>
      <c r="R181" s="49">
        <f t="shared" si="115"/>
        <v>5700</v>
      </c>
      <c r="S181" s="54"/>
      <c r="T181" s="54">
        <v>5700</v>
      </c>
      <c r="U181" s="54"/>
      <c r="V181" s="73"/>
    </row>
    <row r="182" spans="1:22" ht="33">
      <c r="A182" s="43" t="s">
        <v>142</v>
      </c>
      <c r="B182" s="28" t="s">
        <v>143</v>
      </c>
      <c r="C182" s="29" t="s">
        <v>14</v>
      </c>
      <c r="D182" s="29" t="s">
        <v>14</v>
      </c>
      <c r="E182" s="29" t="s">
        <v>14</v>
      </c>
      <c r="F182" s="49">
        <f>SUM(F184:F188)</f>
        <v>41460</v>
      </c>
      <c r="G182" s="49">
        <f>SUM(G184:G188)</f>
        <v>41460</v>
      </c>
      <c r="H182" s="49">
        <f t="shared" ref="H182" si="116">SUM(H184:H188)</f>
        <v>0</v>
      </c>
      <c r="I182" s="49">
        <f t="shared" ref="I182:U182" si="117">SUM(I184:I188)</f>
        <v>0</v>
      </c>
      <c r="J182" s="49">
        <f t="shared" si="117"/>
        <v>1151.3</v>
      </c>
      <c r="K182" s="49">
        <f t="shared" si="117"/>
        <v>1151.3</v>
      </c>
      <c r="L182" s="49">
        <f t="shared" si="117"/>
        <v>0</v>
      </c>
      <c r="M182" s="49">
        <f t="shared" si="117"/>
        <v>0</v>
      </c>
      <c r="N182" s="49">
        <f t="shared" si="117"/>
        <v>29000</v>
      </c>
      <c r="O182" s="49">
        <f t="shared" si="117"/>
        <v>29000</v>
      </c>
      <c r="P182" s="49">
        <f t="shared" si="117"/>
        <v>0</v>
      </c>
      <c r="Q182" s="49">
        <f t="shared" si="117"/>
        <v>0</v>
      </c>
      <c r="R182" s="49">
        <f t="shared" si="117"/>
        <v>0</v>
      </c>
      <c r="S182" s="49">
        <f t="shared" si="117"/>
        <v>0</v>
      </c>
      <c r="T182" s="49">
        <f t="shared" si="117"/>
        <v>0</v>
      </c>
      <c r="U182" s="49">
        <f t="shared" si="117"/>
        <v>0</v>
      </c>
      <c r="V182" s="70">
        <f t="shared" si="112"/>
        <v>2.8000000000000001E-2</v>
      </c>
    </row>
    <row r="183" spans="1:22" ht="18.75">
      <c r="A183" s="60"/>
      <c r="B183" s="32" t="s">
        <v>17</v>
      </c>
      <c r="C183" s="31"/>
      <c r="D183" s="33"/>
      <c r="E183" s="31"/>
      <c r="F183" s="49"/>
      <c r="G183" s="49"/>
      <c r="H183" s="49"/>
      <c r="I183" s="49"/>
      <c r="J183" s="49">
        <f t="shared" ref="F183:R188" si="118">K183+L183+M183</f>
        <v>0</v>
      </c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70"/>
    </row>
    <row r="184" spans="1:22" ht="49.5">
      <c r="A184" s="60"/>
      <c r="B184" s="34" t="s">
        <v>144</v>
      </c>
      <c r="C184" s="31">
        <v>814</v>
      </c>
      <c r="D184" s="33" t="s">
        <v>138</v>
      </c>
      <c r="E184" s="31" t="s">
        <v>330</v>
      </c>
      <c r="F184" s="49">
        <f t="shared" si="118"/>
        <v>13000</v>
      </c>
      <c r="G184" s="54">
        <v>13000</v>
      </c>
      <c r="H184" s="54"/>
      <c r="I184" s="54"/>
      <c r="J184" s="49">
        <f t="shared" si="118"/>
        <v>0</v>
      </c>
      <c r="K184" s="54"/>
      <c r="L184" s="54"/>
      <c r="M184" s="54"/>
      <c r="N184" s="49">
        <f t="shared" si="118"/>
        <v>13000</v>
      </c>
      <c r="O184" s="54">
        <v>13000</v>
      </c>
      <c r="P184" s="54"/>
      <c r="Q184" s="54"/>
      <c r="R184" s="49">
        <f t="shared" si="118"/>
        <v>0</v>
      </c>
      <c r="S184" s="54"/>
      <c r="T184" s="54"/>
      <c r="U184" s="54"/>
      <c r="V184" s="73">
        <f t="shared" si="112"/>
        <v>0</v>
      </c>
    </row>
    <row r="185" spans="1:22" ht="82.5">
      <c r="A185" s="60"/>
      <c r="B185" s="34" t="s">
        <v>336</v>
      </c>
      <c r="C185" s="31">
        <v>814</v>
      </c>
      <c r="D185" s="33" t="s">
        <v>138</v>
      </c>
      <c r="E185" s="31" t="s">
        <v>335</v>
      </c>
      <c r="F185" s="49">
        <f t="shared" si="118"/>
        <v>16000</v>
      </c>
      <c r="G185" s="54">
        <v>16000</v>
      </c>
      <c r="H185" s="54"/>
      <c r="I185" s="54"/>
      <c r="J185" s="49">
        <f t="shared" si="118"/>
        <v>384.5</v>
      </c>
      <c r="K185" s="54">
        <v>384.5</v>
      </c>
      <c r="L185" s="54"/>
      <c r="M185" s="54"/>
      <c r="N185" s="49">
        <f t="shared" si="118"/>
        <v>16000</v>
      </c>
      <c r="O185" s="54">
        <v>16000</v>
      </c>
      <c r="P185" s="54"/>
      <c r="Q185" s="54"/>
      <c r="R185" s="49">
        <f t="shared" si="118"/>
        <v>0</v>
      </c>
      <c r="S185" s="54"/>
      <c r="T185" s="54"/>
      <c r="U185" s="54"/>
      <c r="V185" s="73">
        <f t="shared" si="112"/>
        <v>2.4E-2</v>
      </c>
    </row>
    <row r="186" spans="1:22" ht="49.5">
      <c r="A186" s="60"/>
      <c r="B186" s="34" t="s">
        <v>329</v>
      </c>
      <c r="C186" s="31">
        <v>814</v>
      </c>
      <c r="D186" s="33" t="s">
        <v>138</v>
      </c>
      <c r="E186" s="31" t="s">
        <v>328</v>
      </c>
      <c r="F186" s="49">
        <f t="shared" si="118"/>
        <v>8460</v>
      </c>
      <c r="G186" s="54">
        <v>8460</v>
      </c>
      <c r="H186" s="54"/>
      <c r="I186" s="54"/>
      <c r="J186" s="49">
        <f t="shared" si="118"/>
        <v>766.8</v>
      </c>
      <c r="K186" s="54">
        <f>604.4+162.44</f>
        <v>766.8</v>
      </c>
      <c r="L186" s="54"/>
      <c r="M186" s="54"/>
      <c r="N186" s="49">
        <f t="shared" si="118"/>
        <v>0</v>
      </c>
      <c r="O186" s="54"/>
      <c r="P186" s="54"/>
      <c r="Q186" s="54"/>
      <c r="R186" s="49">
        <f t="shared" si="118"/>
        <v>0</v>
      </c>
      <c r="S186" s="54"/>
      <c r="T186" s="54"/>
      <c r="U186" s="54"/>
      <c r="V186" s="73">
        <f t="shared" si="112"/>
        <v>9.0999999999999998E-2</v>
      </c>
    </row>
    <row r="187" spans="1:22" ht="66">
      <c r="A187" s="60"/>
      <c r="B187" s="34" t="s">
        <v>332</v>
      </c>
      <c r="C187" s="31">
        <v>814</v>
      </c>
      <c r="D187" s="33" t="s">
        <v>138</v>
      </c>
      <c r="E187" s="31" t="s">
        <v>331</v>
      </c>
      <c r="F187" s="49">
        <f t="shared" si="118"/>
        <v>2000</v>
      </c>
      <c r="G187" s="54">
        <v>2000</v>
      </c>
      <c r="H187" s="54"/>
      <c r="I187" s="54"/>
      <c r="J187" s="49">
        <f t="shared" si="118"/>
        <v>0</v>
      </c>
      <c r="K187" s="54"/>
      <c r="L187" s="54"/>
      <c r="M187" s="54"/>
      <c r="N187" s="49">
        <f t="shared" si="118"/>
        <v>0</v>
      </c>
      <c r="O187" s="54"/>
      <c r="P187" s="54"/>
      <c r="Q187" s="54"/>
      <c r="R187" s="49">
        <f t="shared" si="118"/>
        <v>0</v>
      </c>
      <c r="S187" s="54"/>
      <c r="T187" s="54"/>
      <c r="U187" s="54"/>
      <c r="V187" s="73">
        <f t="shared" si="112"/>
        <v>0</v>
      </c>
    </row>
    <row r="188" spans="1:22" ht="49.5">
      <c r="A188" s="60"/>
      <c r="B188" s="34" t="s">
        <v>334</v>
      </c>
      <c r="C188" s="31">
        <v>814</v>
      </c>
      <c r="D188" s="33" t="s">
        <v>138</v>
      </c>
      <c r="E188" s="31" t="s">
        <v>333</v>
      </c>
      <c r="F188" s="49">
        <f t="shared" si="118"/>
        <v>2000</v>
      </c>
      <c r="G188" s="54">
        <v>2000</v>
      </c>
      <c r="H188" s="54"/>
      <c r="I188" s="54"/>
      <c r="J188" s="49">
        <f t="shared" si="118"/>
        <v>0</v>
      </c>
      <c r="K188" s="54"/>
      <c r="L188" s="54"/>
      <c r="M188" s="54"/>
      <c r="N188" s="49">
        <f t="shared" si="118"/>
        <v>0</v>
      </c>
      <c r="O188" s="54"/>
      <c r="P188" s="54"/>
      <c r="Q188" s="54"/>
      <c r="R188" s="49">
        <f t="shared" si="118"/>
        <v>0</v>
      </c>
      <c r="S188" s="54"/>
      <c r="T188" s="54"/>
      <c r="U188" s="54"/>
      <c r="V188" s="73">
        <f t="shared" si="112"/>
        <v>0</v>
      </c>
    </row>
    <row r="189" spans="1:22" ht="66">
      <c r="A189" s="59" t="s">
        <v>145</v>
      </c>
      <c r="B189" s="22" t="s">
        <v>146</v>
      </c>
      <c r="C189" s="1" t="s">
        <v>14</v>
      </c>
      <c r="D189" s="1" t="s">
        <v>14</v>
      </c>
      <c r="E189" s="1" t="s">
        <v>14</v>
      </c>
      <c r="F189" s="48">
        <f t="shared" ref="F189:U189" si="119">F190+F194+F200+F203</f>
        <v>161459.79999999999</v>
      </c>
      <c r="G189" s="48">
        <f t="shared" si="119"/>
        <v>5807.9</v>
      </c>
      <c r="H189" s="48">
        <f t="shared" si="119"/>
        <v>154789.6</v>
      </c>
      <c r="I189" s="48">
        <f t="shared" si="119"/>
        <v>862.3</v>
      </c>
      <c r="J189" s="48">
        <f t="shared" si="119"/>
        <v>750</v>
      </c>
      <c r="K189" s="48">
        <f t="shared" si="119"/>
        <v>22.5</v>
      </c>
      <c r="L189" s="48">
        <f t="shared" si="119"/>
        <v>727.5</v>
      </c>
      <c r="M189" s="48">
        <f t="shared" si="119"/>
        <v>0</v>
      </c>
      <c r="N189" s="48">
        <f t="shared" si="119"/>
        <v>113776.1</v>
      </c>
      <c r="O189" s="48">
        <f t="shared" si="119"/>
        <v>3413.4</v>
      </c>
      <c r="P189" s="48">
        <f t="shared" si="119"/>
        <v>110362.2</v>
      </c>
      <c r="Q189" s="48">
        <f t="shared" si="119"/>
        <v>0.5</v>
      </c>
      <c r="R189" s="48">
        <f t="shared" si="119"/>
        <v>228335.6</v>
      </c>
      <c r="S189" s="48">
        <f t="shared" si="119"/>
        <v>6850.1</v>
      </c>
      <c r="T189" s="48">
        <f t="shared" si="119"/>
        <v>221485</v>
      </c>
      <c r="U189" s="48">
        <f t="shared" si="119"/>
        <v>0.5</v>
      </c>
      <c r="V189" s="69">
        <f t="shared" si="112"/>
        <v>5.0000000000000001E-3</v>
      </c>
    </row>
    <row r="190" spans="1:22" ht="82.5">
      <c r="A190" s="57" t="s">
        <v>147</v>
      </c>
      <c r="B190" s="15" t="s">
        <v>148</v>
      </c>
      <c r="C190" s="6" t="s">
        <v>14</v>
      </c>
      <c r="D190" s="6" t="s">
        <v>14</v>
      </c>
      <c r="E190" s="6" t="s">
        <v>14</v>
      </c>
      <c r="F190" s="51">
        <f t="shared" ref="F190:U190" si="120">SUM(F192:F193)</f>
        <v>2938</v>
      </c>
      <c r="G190" s="49">
        <f t="shared" si="120"/>
        <v>88.1</v>
      </c>
      <c r="H190" s="49">
        <f t="shared" ref="H190" si="121">SUM(H192:H193)</f>
        <v>2849.9</v>
      </c>
      <c r="I190" s="49">
        <f t="shared" si="120"/>
        <v>0</v>
      </c>
      <c r="J190" s="51">
        <f t="shared" si="120"/>
        <v>0</v>
      </c>
      <c r="K190" s="51">
        <f t="shared" si="120"/>
        <v>0</v>
      </c>
      <c r="L190" s="49">
        <f t="shared" si="120"/>
        <v>0</v>
      </c>
      <c r="M190" s="49">
        <f t="shared" si="120"/>
        <v>0</v>
      </c>
      <c r="N190" s="51">
        <f t="shared" si="120"/>
        <v>15753.2</v>
      </c>
      <c r="O190" s="49">
        <f t="shared" si="120"/>
        <v>472.6</v>
      </c>
      <c r="P190" s="49">
        <f t="shared" si="120"/>
        <v>15280.6</v>
      </c>
      <c r="Q190" s="49">
        <f t="shared" si="120"/>
        <v>0</v>
      </c>
      <c r="R190" s="51">
        <f t="shared" si="120"/>
        <v>110786.9</v>
      </c>
      <c r="S190" s="49">
        <f t="shared" si="120"/>
        <v>3323.6</v>
      </c>
      <c r="T190" s="49">
        <f t="shared" si="120"/>
        <v>107463.3</v>
      </c>
      <c r="U190" s="49">
        <f t="shared" si="120"/>
        <v>0</v>
      </c>
      <c r="V190" s="70">
        <f t="shared" si="112"/>
        <v>0</v>
      </c>
    </row>
    <row r="191" spans="1:22" ht="18.75">
      <c r="A191" s="58"/>
      <c r="B191" s="18" t="s">
        <v>17</v>
      </c>
      <c r="C191" s="7"/>
      <c r="D191" s="7"/>
      <c r="E191" s="7"/>
      <c r="F191" s="51"/>
      <c r="G191" s="49"/>
      <c r="H191" s="49"/>
      <c r="I191" s="49"/>
      <c r="J191" s="51"/>
      <c r="K191" s="51"/>
      <c r="L191" s="49"/>
      <c r="M191" s="49"/>
      <c r="N191" s="51"/>
      <c r="O191" s="49"/>
      <c r="P191" s="49"/>
      <c r="Q191" s="49"/>
      <c r="R191" s="51"/>
      <c r="S191" s="49"/>
      <c r="T191" s="49"/>
      <c r="U191" s="49"/>
      <c r="V191" s="70"/>
    </row>
    <row r="192" spans="1:22" ht="99">
      <c r="A192" s="62"/>
      <c r="B192" s="40" t="s">
        <v>183</v>
      </c>
      <c r="C192" s="41">
        <v>840</v>
      </c>
      <c r="D192" s="42" t="s">
        <v>94</v>
      </c>
      <c r="E192" s="41" t="s">
        <v>178</v>
      </c>
      <c r="F192" s="53">
        <f t="shared" ref="F192:R193" si="122">G192+H192+I192</f>
        <v>0</v>
      </c>
      <c r="G192" s="56"/>
      <c r="H192" s="56"/>
      <c r="I192" s="56"/>
      <c r="J192" s="53">
        <f t="shared" si="122"/>
        <v>0</v>
      </c>
      <c r="K192" s="56"/>
      <c r="L192" s="56"/>
      <c r="M192" s="56"/>
      <c r="N192" s="53">
        <f t="shared" si="122"/>
        <v>3335.2</v>
      </c>
      <c r="O192" s="56">
        <f>100.1-0.05</f>
        <v>100.1</v>
      </c>
      <c r="P192" s="56">
        <v>3235.1</v>
      </c>
      <c r="Q192" s="56"/>
      <c r="R192" s="53">
        <f t="shared" si="122"/>
        <v>9703.9</v>
      </c>
      <c r="S192" s="56">
        <f>291.1+0.02</f>
        <v>291.10000000000002</v>
      </c>
      <c r="T192" s="56">
        <v>9412.7999999999993</v>
      </c>
      <c r="U192" s="56"/>
      <c r="V192" s="74"/>
    </row>
    <row r="193" spans="1:22" ht="99">
      <c r="A193" s="62"/>
      <c r="B193" s="40" t="s">
        <v>180</v>
      </c>
      <c r="C193" s="41">
        <v>840</v>
      </c>
      <c r="D193" s="42" t="s">
        <v>94</v>
      </c>
      <c r="E193" s="41" t="s">
        <v>179</v>
      </c>
      <c r="F193" s="53">
        <f t="shared" si="122"/>
        <v>2938</v>
      </c>
      <c r="G193" s="56">
        <f>88.1+0.04</f>
        <v>88.1</v>
      </c>
      <c r="H193" s="56">
        <v>2849.9</v>
      </c>
      <c r="I193" s="56"/>
      <c r="J193" s="53">
        <f t="shared" si="122"/>
        <v>0</v>
      </c>
      <c r="K193" s="56"/>
      <c r="L193" s="56"/>
      <c r="M193" s="56"/>
      <c r="N193" s="53">
        <f t="shared" si="122"/>
        <v>12418</v>
      </c>
      <c r="O193" s="56">
        <f>372.5+0.04</f>
        <v>372.5</v>
      </c>
      <c r="P193" s="56">
        <v>12045.5</v>
      </c>
      <c r="Q193" s="56"/>
      <c r="R193" s="53">
        <f t="shared" si="122"/>
        <v>101083</v>
      </c>
      <c r="S193" s="56">
        <f>3032.5-0.01</f>
        <v>3032.5</v>
      </c>
      <c r="T193" s="56">
        <v>98050.5</v>
      </c>
      <c r="U193" s="56"/>
      <c r="V193" s="74">
        <f t="shared" si="112"/>
        <v>0</v>
      </c>
    </row>
    <row r="194" spans="1:22" ht="49.5">
      <c r="A194" s="57" t="s">
        <v>149</v>
      </c>
      <c r="B194" s="15" t="s">
        <v>150</v>
      </c>
      <c r="C194" s="6" t="s">
        <v>14</v>
      </c>
      <c r="D194" s="6" t="s">
        <v>14</v>
      </c>
      <c r="E194" s="6" t="s">
        <v>14</v>
      </c>
      <c r="F194" s="51">
        <f t="shared" ref="F194:U194" si="123">SUM(F196:F199)</f>
        <v>120174.8</v>
      </c>
      <c r="G194" s="51">
        <f t="shared" si="123"/>
        <v>3579.4</v>
      </c>
      <c r="H194" s="51">
        <f t="shared" si="123"/>
        <v>115733.1</v>
      </c>
      <c r="I194" s="51">
        <f t="shared" si="123"/>
        <v>862.3</v>
      </c>
      <c r="J194" s="51">
        <f t="shared" si="123"/>
        <v>0</v>
      </c>
      <c r="K194" s="51">
        <f t="shared" si="123"/>
        <v>0</v>
      </c>
      <c r="L194" s="51">
        <f t="shared" si="123"/>
        <v>0</v>
      </c>
      <c r="M194" s="51">
        <f t="shared" si="123"/>
        <v>0</v>
      </c>
      <c r="N194" s="51">
        <f t="shared" si="123"/>
        <v>68164.7</v>
      </c>
      <c r="O194" s="51">
        <f t="shared" si="123"/>
        <v>2045</v>
      </c>
      <c r="P194" s="51">
        <f t="shared" si="123"/>
        <v>66119.199999999997</v>
      </c>
      <c r="Q194" s="51">
        <f t="shared" si="123"/>
        <v>0.5</v>
      </c>
      <c r="R194" s="51">
        <f t="shared" si="123"/>
        <v>76712.800000000003</v>
      </c>
      <c r="S194" s="51">
        <f t="shared" si="123"/>
        <v>2301.4</v>
      </c>
      <c r="T194" s="51">
        <f t="shared" si="123"/>
        <v>74410.899999999994</v>
      </c>
      <c r="U194" s="51">
        <f t="shared" si="123"/>
        <v>0.5</v>
      </c>
      <c r="V194" s="71">
        <f t="shared" si="112"/>
        <v>0</v>
      </c>
    </row>
    <row r="195" spans="1:22" ht="18.75">
      <c r="A195" s="58"/>
      <c r="B195" s="18" t="s">
        <v>17</v>
      </c>
      <c r="C195" s="7"/>
      <c r="D195" s="7"/>
      <c r="E195" s="7"/>
      <c r="F195" s="51"/>
      <c r="G195" s="49"/>
      <c r="H195" s="49"/>
      <c r="I195" s="49"/>
      <c r="J195" s="51"/>
      <c r="K195" s="51"/>
      <c r="L195" s="49"/>
      <c r="M195" s="49"/>
      <c r="N195" s="51"/>
      <c r="O195" s="49"/>
      <c r="P195" s="49"/>
      <c r="Q195" s="49"/>
      <c r="R195" s="51"/>
      <c r="S195" s="49"/>
      <c r="T195" s="49"/>
      <c r="U195" s="49"/>
      <c r="V195" s="70"/>
    </row>
    <row r="196" spans="1:22" ht="132">
      <c r="A196" s="60"/>
      <c r="B196" s="34" t="s">
        <v>184</v>
      </c>
      <c r="C196" s="31">
        <v>840</v>
      </c>
      <c r="D196" s="33" t="s">
        <v>94</v>
      </c>
      <c r="E196" s="31" t="s">
        <v>181</v>
      </c>
      <c r="F196" s="49">
        <f t="shared" ref="F196:R199" si="124">G196+H196+I196</f>
        <v>0</v>
      </c>
      <c r="G196" s="54">
        <f>2902.3-2902.3</f>
        <v>0</v>
      </c>
      <c r="H196" s="54">
        <f>93841.7-93841.7</f>
        <v>0</v>
      </c>
      <c r="I196" s="54"/>
      <c r="J196" s="49">
        <f t="shared" si="124"/>
        <v>0</v>
      </c>
      <c r="K196" s="54"/>
      <c r="L196" s="54"/>
      <c r="M196" s="54"/>
      <c r="N196" s="49">
        <f t="shared" si="124"/>
        <v>0</v>
      </c>
      <c r="O196" s="54">
        <f>1312-1312</f>
        <v>0</v>
      </c>
      <c r="P196" s="54">
        <f>42419.9-42419.9</f>
        <v>0</v>
      </c>
      <c r="Q196" s="54"/>
      <c r="R196" s="49">
        <f t="shared" si="124"/>
        <v>0</v>
      </c>
      <c r="S196" s="54">
        <f>1314.7+47.7-1362.37</f>
        <v>0</v>
      </c>
      <c r="T196" s="54">
        <f>44049.5-44049.5</f>
        <v>0</v>
      </c>
      <c r="U196" s="54"/>
      <c r="V196" s="73"/>
    </row>
    <row r="197" spans="1:22" ht="148.5">
      <c r="A197" s="60"/>
      <c r="B197" s="34" t="s">
        <v>185</v>
      </c>
      <c r="C197" s="31">
        <v>840</v>
      </c>
      <c r="D197" s="33" t="s">
        <v>94</v>
      </c>
      <c r="E197" s="31" t="s">
        <v>182</v>
      </c>
      <c r="F197" s="49">
        <f t="shared" si="124"/>
        <v>17245.2</v>
      </c>
      <c r="G197" s="54">
        <f>491.5-0.01</f>
        <v>491.5</v>
      </c>
      <c r="H197" s="54">
        <v>15891.4</v>
      </c>
      <c r="I197" s="54">
        <v>862.3</v>
      </c>
      <c r="J197" s="49">
        <f t="shared" si="124"/>
        <v>0</v>
      </c>
      <c r="K197" s="54"/>
      <c r="L197" s="54"/>
      <c r="M197" s="54"/>
      <c r="N197" s="49">
        <f t="shared" si="124"/>
        <v>21546.2</v>
      </c>
      <c r="O197" s="54">
        <f>646.4-0.03</f>
        <v>646.4</v>
      </c>
      <c r="P197" s="54">
        <v>20899.3</v>
      </c>
      <c r="Q197" s="54">
        <v>0.5</v>
      </c>
      <c r="R197" s="49">
        <f t="shared" si="124"/>
        <v>28620.5</v>
      </c>
      <c r="S197" s="54">
        <v>858.6</v>
      </c>
      <c r="T197" s="54">
        <v>27761.4</v>
      </c>
      <c r="U197" s="54">
        <v>0.5</v>
      </c>
      <c r="V197" s="73">
        <f t="shared" si="112"/>
        <v>0</v>
      </c>
    </row>
    <row r="198" spans="1:22" ht="99">
      <c r="A198" s="60"/>
      <c r="B198" s="34" t="s">
        <v>187</v>
      </c>
      <c r="C198" s="31">
        <v>840</v>
      </c>
      <c r="D198" s="33" t="s">
        <v>94</v>
      </c>
      <c r="E198" s="31" t="s">
        <v>186</v>
      </c>
      <c r="F198" s="49">
        <f t="shared" si="124"/>
        <v>6185.6</v>
      </c>
      <c r="G198" s="54">
        <v>185.6</v>
      </c>
      <c r="H198" s="54">
        <v>6000</v>
      </c>
      <c r="I198" s="54"/>
      <c r="J198" s="49">
        <f t="shared" si="124"/>
        <v>0</v>
      </c>
      <c r="K198" s="54"/>
      <c r="L198" s="54"/>
      <c r="M198" s="54"/>
      <c r="N198" s="49">
        <f t="shared" si="124"/>
        <v>2886.6</v>
      </c>
      <c r="O198" s="54">
        <v>86.6</v>
      </c>
      <c r="P198" s="54">
        <v>2800</v>
      </c>
      <c r="Q198" s="54"/>
      <c r="R198" s="49">
        <f t="shared" si="124"/>
        <v>2680.4</v>
      </c>
      <c r="S198" s="54">
        <v>80.400000000000006</v>
      </c>
      <c r="T198" s="54">
        <v>2600</v>
      </c>
      <c r="U198" s="54"/>
      <c r="V198" s="73">
        <f t="shared" si="112"/>
        <v>0</v>
      </c>
    </row>
    <row r="199" spans="1:22" ht="99" customHeight="1">
      <c r="A199" s="60"/>
      <c r="B199" s="34" t="s">
        <v>378</v>
      </c>
      <c r="C199" s="31">
        <v>840</v>
      </c>
      <c r="D199" s="33" t="s">
        <v>94</v>
      </c>
      <c r="E199" s="31" t="s">
        <v>379</v>
      </c>
      <c r="F199" s="49">
        <f t="shared" si="124"/>
        <v>96744</v>
      </c>
      <c r="G199" s="54">
        <v>2902.3</v>
      </c>
      <c r="H199" s="54">
        <v>93841.7</v>
      </c>
      <c r="I199" s="54"/>
      <c r="J199" s="49">
        <f t="shared" si="124"/>
        <v>0</v>
      </c>
      <c r="K199" s="54"/>
      <c r="L199" s="54"/>
      <c r="M199" s="54"/>
      <c r="N199" s="49">
        <f t="shared" si="124"/>
        <v>43731.9</v>
      </c>
      <c r="O199" s="54">
        <v>1312</v>
      </c>
      <c r="P199" s="54">
        <v>42419.9</v>
      </c>
      <c r="Q199" s="54"/>
      <c r="R199" s="49">
        <f t="shared" si="124"/>
        <v>45411.9</v>
      </c>
      <c r="S199" s="54">
        <v>1362.4</v>
      </c>
      <c r="T199" s="54">
        <v>44049.5</v>
      </c>
      <c r="U199" s="54"/>
      <c r="V199" s="73">
        <f t="shared" si="112"/>
        <v>0</v>
      </c>
    </row>
    <row r="200" spans="1:22" ht="33">
      <c r="A200" s="43" t="s">
        <v>151</v>
      </c>
      <c r="B200" s="28" t="s">
        <v>152</v>
      </c>
      <c r="C200" s="29" t="s">
        <v>14</v>
      </c>
      <c r="D200" s="45" t="s">
        <v>14</v>
      </c>
      <c r="E200" s="29" t="s">
        <v>14</v>
      </c>
      <c r="F200" s="49">
        <f t="shared" ref="F200:U200" si="125">SUM(F202:F202)</f>
        <v>9312</v>
      </c>
      <c r="G200" s="49">
        <f t="shared" si="125"/>
        <v>279.39999999999998</v>
      </c>
      <c r="H200" s="49">
        <f t="shared" si="125"/>
        <v>9032.6</v>
      </c>
      <c r="I200" s="49">
        <f t="shared" si="125"/>
        <v>0</v>
      </c>
      <c r="J200" s="49">
        <f t="shared" si="125"/>
        <v>0</v>
      </c>
      <c r="K200" s="49">
        <f t="shared" si="125"/>
        <v>0</v>
      </c>
      <c r="L200" s="49">
        <f t="shared" si="125"/>
        <v>0</v>
      </c>
      <c r="M200" s="49">
        <f t="shared" si="125"/>
        <v>0</v>
      </c>
      <c r="N200" s="49">
        <f t="shared" si="125"/>
        <v>4656</v>
      </c>
      <c r="O200" s="49">
        <f t="shared" si="125"/>
        <v>139.69999999999999</v>
      </c>
      <c r="P200" s="49">
        <f t="shared" si="125"/>
        <v>4516.3</v>
      </c>
      <c r="Q200" s="49">
        <f t="shared" si="125"/>
        <v>0</v>
      </c>
      <c r="R200" s="49">
        <f t="shared" si="125"/>
        <v>7449.6</v>
      </c>
      <c r="S200" s="49">
        <f t="shared" si="125"/>
        <v>223.5</v>
      </c>
      <c r="T200" s="49">
        <f t="shared" si="125"/>
        <v>7226.1</v>
      </c>
      <c r="U200" s="49">
        <f t="shared" si="125"/>
        <v>0</v>
      </c>
      <c r="V200" s="70">
        <f t="shared" si="112"/>
        <v>0</v>
      </c>
    </row>
    <row r="201" spans="1:22" ht="18.75">
      <c r="A201" s="60"/>
      <c r="B201" s="32" t="s">
        <v>17</v>
      </c>
      <c r="C201" s="31"/>
      <c r="D201" s="33"/>
      <c r="E201" s="31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70"/>
    </row>
    <row r="202" spans="1:22" ht="165">
      <c r="A202" s="60"/>
      <c r="B202" s="34" t="s">
        <v>189</v>
      </c>
      <c r="C202" s="31">
        <v>840</v>
      </c>
      <c r="D202" s="33" t="s">
        <v>94</v>
      </c>
      <c r="E202" s="31" t="s">
        <v>188</v>
      </c>
      <c r="F202" s="49">
        <f t="shared" ref="F202:N202" si="126">G202+H202+I202</f>
        <v>9312</v>
      </c>
      <c r="G202" s="54">
        <f>279.4-0.04</f>
        <v>279.39999999999998</v>
      </c>
      <c r="H202" s="54">
        <v>9032.6</v>
      </c>
      <c r="I202" s="54"/>
      <c r="J202" s="49">
        <f t="shared" si="126"/>
        <v>0</v>
      </c>
      <c r="K202" s="54"/>
      <c r="L202" s="54"/>
      <c r="M202" s="54"/>
      <c r="N202" s="49">
        <f t="shared" si="126"/>
        <v>4656</v>
      </c>
      <c r="O202" s="54">
        <f>139.7-0.02</f>
        <v>139.69999999999999</v>
      </c>
      <c r="P202" s="54">
        <v>4516.3</v>
      </c>
      <c r="Q202" s="54"/>
      <c r="R202" s="49">
        <f>S202+T202+U202</f>
        <v>7449.6</v>
      </c>
      <c r="S202" s="54">
        <f>223.5-0.01</f>
        <v>223.5</v>
      </c>
      <c r="T202" s="54">
        <v>7226.1</v>
      </c>
      <c r="U202" s="54"/>
      <c r="V202" s="73">
        <f t="shared" si="112"/>
        <v>0</v>
      </c>
    </row>
    <row r="203" spans="1:22" ht="49.5">
      <c r="A203" s="57" t="s">
        <v>153</v>
      </c>
      <c r="B203" s="15" t="s">
        <v>154</v>
      </c>
      <c r="C203" s="6" t="s">
        <v>14</v>
      </c>
      <c r="D203" s="4" t="s">
        <v>14</v>
      </c>
      <c r="E203" s="6" t="s">
        <v>14</v>
      </c>
      <c r="F203" s="51">
        <f t="shared" ref="F203:U203" si="127">SUM(F205:F208)</f>
        <v>29035</v>
      </c>
      <c r="G203" s="51">
        <f t="shared" si="127"/>
        <v>1861</v>
      </c>
      <c r="H203" s="51">
        <f t="shared" si="127"/>
        <v>27174</v>
      </c>
      <c r="I203" s="51">
        <f t="shared" si="127"/>
        <v>0</v>
      </c>
      <c r="J203" s="51">
        <f t="shared" si="127"/>
        <v>750</v>
      </c>
      <c r="K203" s="51">
        <f t="shared" si="127"/>
        <v>22.5</v>
      </c>
      <c r="L203" s="51">
        <f t="shared" si="127"/>
        <v>727.5</v>
      </c>
      <c r="M203" s="51">
        <f t="shared" si="127"/>
        <v>0</v>
      </c>
      <c r="N203" s="51">
        <f t="shared" si="127"/>
        <v>25202.2</v>
      </c>
      <c r="O203" s="51">
        <f t="shared" si="127"/>
        <v>756.1</v>
      </c>
      <c r="P203" s="51">
        <f t="shared" si="127"/>
        <v>24446.1</v>
      </c>
      <c r="Q203" s="51">
        <f t="shared" si="127"/>
        <v>0</v>
      </c>
      <c r="R203" s="51">
        <f t="shared" si="127"/>
        <v>33386.300000000003</v>
      </c>
      <c r="S203" s="51">
        <f t="shared" si="127"/>
        <v>1001.6</v>
      </c>
      <c r="T203" s="51">
        <f t="shared" si="127"/>
        <v>32384.7</v>
      </c>
      <c r="U203" s="51">
        <f t="shared" si="127"/>
        <v>0</v>
      </c>
      <c r="V203" s="71">
        <f t="shared" si="112"/>
        <v>2.5999999999999999E-2</v>
      </c>
    </row>
    <row r="204" spans="1:22" ht="18.75">
      <c r="A204" s="60"/>
      <c r="B204" s="34" t="s">
        <v>17</v>
      </c>
      <c r="C204" s="31"/>
      <c r="D204" s="33"/>
      <c r="E204" s="31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70"/>
    </row>
    <row r="205" spans="1:22" ht="82.5">
      <c r="A205" s="60"/>
      <c r="B205" s="34" t="s">
        <v>156</v>
      </c>
      <c r="C205" s="31">
        <v>817</v>
      </c>
      <c r="D205" s="33" t="s">
        <v>155</v>
      </c>
      <c r="E205" s="31" t="s">
        <v>204</v>
      </c>
      <c r="F205" s="49">
        <f t="shared" ref="F205:R208" si="128">G205+H205+I205</f>
        <v>21649.5</v>
      </c>
      <c r="G205" s="54">
        <v>649.5</v>
      </c>
      <c r="H205" s="54">
        <v>21000</v>
      </c>
      <c r="I205" s="54"/>
      <c r="J205" s="49">
        <f t="shared" si="128"/>
        <v>0</v>
      </c>
      <c r="K205" s="54"/>
      <c r="L205" s="54"/>
      <c r="M205" s="54"/>
      <c r="N205" s="49">
        <f t="shared" si="128"/>
        <v>20618.599999999999</v>
      </c>
      <c r="O205" s="54">
        <v>618.6</v>
      </c>
      <c r="P205" s="54">
        <v>20000</v>
      </c>
      <c r="Q205" s="54"/>
      <c r="R205" s="49">
        <f t="shared" si="128"/>
        <v>27835.1</v>
      </c>
      <c r="S205" s="54">
        <v>835.1</v>
      </c>
      <c r="T205" s="54">
        <v>27000</v>
      </c>
      <c r="U205" s="54"/>
      <c r="V205" s="73">
        <f t="shared" si="112"/>
        <v>0</v>
      </c>
    </row>
    <row r="206" spans="1:22" ht="82.5">
      <c r="A206" s="60"/>
      <c r="B206" s="34" t="s">
        <v>157</v>
      </c>
      <c r="C206" s="31">
        <v>817</v>
      </c>
      <c r="D206" s="33" t="s">
        <v>155</v>
      </c>
      <c r="E206" s="31" t="s">
        <v>205</v>
      </c>
      <c r="F206" s="49">
        <f t="shared" si="128"/>
        <v>3092.8</v>
      </c>
      <c r="G206" s="54">
        <f>92.8</f>
        <v>92.8</v>
      </c>
      <c r="H206" s="54">
        <v>3000</v>
      </c>
      <c r="I206" s="54"/>
      <c r="J206" s="49">
        <f t="shared" si="128"/>
        <v>750</v>
      </c>
      <c r="K206" s="54">
        <f>12+10.5</f>
        <v>22.5</v>
      </c>
      <c r="L206" s="54">
        <f>388+339.5</f>
        <v>727.5</v>
      </c>
      <c r="M206" s="54"/>
      <c r="N206" s="49">
        <f t="shared" si="128"/>
        <v>3092.8</v>
      </c>
      <c r="O206" s="54">
        <v>92.8</v>
      </c>
      <c r="P206" s="54">
        <v>3000</v>
      </c>
      <c r="Q206" s="54"/>
      <c r="R206" s="49">
        <f t="shared" si="128"/>
        <v>3092.8</v>
      </c>
      <c r="S206" s="54">
        <v>92.8</v>
      </c>
      <c r="T206" s="54">
        <v>3000</v>
      </c>
      <c r="U206" s="54"/>
      <c r="V206" s="73">
        <f t="shared" si="112"/>
        <v>0.24199999999999999</v>
      </c>
    </row>
    <row r="207" spans="1:22" ht="82.5">
      <c r="A207" s="60"/>
      <c r="B207" s="34" t="s">
        <v>207</v>
      </c>
      <c r="C207" s="31">
        <v>817</v>
      </c>
      <c r="D207" s="33" t="s">
        <v>155</v>
      </c>
      <c r="E207" s="31" t="s">
        <v>206</v>
      </c>
      <c r="F207" s="49">
        <f t="shared" si="128"/>
        <v>3272.1</v>
      </c>
      <c r="G207" s="54">
        <v>98.1</v>
      </c>
      <c r="H207" s="54">
        <v>3174</v>
      </c>
      <c r="I207" s="54"/>
      <c r="J207" s="49">
        <f t="shared" si="128"/>
        <v>0</v>
      </c>
      <c r="K207" s="54"/>
      <c r="L207" s="54"/>
      <c r="M207" s="54"/>
      <c r="N207" s="49">
        <f t="shared" si="128"/>
        <v>1490.8</v>
      </c>
      <c r="O207" s="54">
        <v>44.7</v>
      </c>
      <c r="P207" s="54">
        <v>1446.1</v>
      </c>
      <c r="Q207" s="54"/>
      <c r="R207" s="49">
        <f t="shared" si="128"/>
        <v>2458.4</v>
      </c>
      <c r="S207" s="54">
        <v>73.7</v>
      </c>
      <c r="T207" s="54">
        <v>2384.6999999999998</v>
      </c>
      <c r="U207" s="54"/>
      <c r="V207" s="73">
        <f t="shared" si="112"/>
        <v>0</v>
      </c>
    </row>
    <row r="208" spans="1:22" ht="82.5">
      <c r="A208" s="60"/>
      <c r="B208" s="34" t="s">
        <v>157</v>
      </c>
      <c r="C208" s="31">
        <v>817</v>
      </c>
      <c r="D208" s="33" t="s">
        <v>155</v>
      </c>
      <c r="E208" s="31" t="s">
        <v>380</v>
      </c>
      <c r="F208" s="49">
        <f t="shared" si="128"/>
        <v>1020.6</v>
      </c>
      <c r="G208" s="54">
        <v>1020.6</v>
      </c>
      <c r="H208" s="54"/>
      <c r="I208" s="54"/>
      <c r="J208" s="49">
        <f t="shared" si="128"/>
        <v>0</v>
      </c>
      <c r="K208" s="54"/>
      <c r="L208" s="54"/>
      <c r="M208" s="54"/>
      <c r="N208" s="49">
        <f t="shared" si="128"/>
        <v>0</v>
      </c>
      <c r="O208" s="54"/>
      <c r="P208" s="54"/>
      <c r="Q208" s="54"/>
      <c r="R208" s="49">
        <f t="shared" si="128"/>
        <v>0</v>
      </c>
      <c r="S208" s="54"/>
      <c r="T208" s="54"/>
      <c r="U208" s="54"/>
      <c r="V208" s="73">
        <f t="shared" si="112"/>
        <v>0</v>
      </c>
    </row>
    <row r="209" spans="1:22" ht="49.5">
      <c r="A209" s="59" t="s">
        <v>158</v>
      </c>
      <c r="B209" s="22" t="s">
        <v>159</v>
      </c>
      <c r="C209" s="1" t="s">
        <v>14</v>
      </c>
      <c r="D209" s="1" t="s">
        <v>14</v>
      </c>
      <c r="E209" s="1" t="s">
        <v>14</v>
      </c>
      <c r="F209" s="48">
        <f t="shared" ref="F209:U209" si="129">F210+F214</f>
        <v>112067.6</v>
      </c>
      <c r="G209" s="48">
        <f t="shared" si="129"/>
        <v>21500.7</v>
      </c>
      <c r="H209" s="48">
        <f t="shared" si="129"/>
        <v>90566.9</v>
      </c>
      <c r="I209" s="48">
        <f t="shared" si="129"/>
        <v>0</v>
      </c>
      <c r="J209" s="48">
        <f t="shared" si="129"/>
        <v>13503.4</v>
      </c>
      <c r="K209" s="48">
        <f t="shared" si="129"/>
        <v>2797.2</v>
      </c>
      <c r="L209" s="48">
        <f t="shared" si="129"/>
        <v>10706.2</v>
      </c>
      <c r="M209" s="48">
        <f t="shared" si="129"/>
        <v>0</v>
      </c>
      <c r="N209" s="48">
        <f t="shared" si="129"/>
        <v>48885.7</v>
      </c>
      <c r="O209" s="48">
        <f t="shared" si="129"/>
        <v>14265.1</v>
      </c>
      <c r="P209" s="48">
        <f t="shared" si="129"/>
        <v>34620.6</v>
      </c>
      <c r="Q209" s="48">
        <f t="shared" si="129"/>
        <v>0</v>
      </c>
      <c r="R209" s="48">
        <f t="shared" si="129"/>
        <v>45776.1</v>
      </c>
      <c r="S209" s="48">
        <f t="shared" si="129"/>
        <v>14200.8</v>
      </c>
      <c r="T209" s="48">
        <f t="shared" si="129"/>
        <v>31575.3</v>
      </c>
      <c r="U209" s="48">
        <f t="shared" si="129"/>
        <v>0</v>
      </c>
      <c r="V209" s="69">
        <f t="shared" si="112"/>
        <v>0.12</v>
      </c>
    </row>
    <row r="210" spans="1:22" ht="66">
      <c r="A210" s="57" t="s">
        <v>160</v>
      </c>
      <c r="B210" s="15" t="s">
        <v>161</v>
      </c>
      <c r="C210" s="6" t="s">
        <v>14</v>
      </c>
      <c r="D210" s="6" t="s">
        <v>14</v>
      </c>
      <c r="E210" s="6" t="s">
        <v>14</v>
      </c>
      <c r="F210" s="51">
        <f t="shared" ref="F210:U210" si="130">SUM(F212:F213)</f>
        <v>46924.7</v>
      </c>
      <c r="G210" s="49">
        <f t="shared" si="130"/>
        <v>6451.4</v>
      </c>
      <c r="H210" s="49">
        <f t="shared" si="130"/>
        <v>40473.300000000003</v>
      </c>
      <c r="I210" s="49">
        <f t="shared" si="130"/>
        <v>0</v>
      </c>
      <c r="J210" s="51">
        <f t="shared" si="130"/>
        <v>12909.5</v>
      </c>
      <c r="K210" s="51">
        <f t="shared" si="130"/>
        <v>2203.3000000000002</v>
      </c>
      <c r="L210" s="49">
        <f t="shared" si="130"/>
        <v>10706.2</v>
      </c>
      <c r="M210" s="49">
        <f t="shared" si="130"/>
        <v>0</v>
      </c>
      <c r="N210" s="51">
        <f t="shared" si="130"/>
        <v>9881.7999999999993</v>
      </c>
      <c r="O210" s="49">
        <f t="shared" si="130"/>
        <v>0</v>
      </c>
      <c r="P210" s="49">
        <f t="shared" si="130"/>
        <v>9881.7999999999993</v>
      </c>
      <c r="Q210" s="49">
        <f t="shared" si="130"/>
        <v>0</v>
      </c>
      <c r="R210" s="51">
        <f t="shared" si="130"/>
        <v>8916.6</v>
      </c>
      <c r="S210" s="49">
        <f t="shared" si="130"/>
        <v>0</v>
      </c>
      <c r="T210" s="49">
        <f t="shared" si="130"/>
        <v>8916.6</v>
      </c>
      <c r="U210" s="49">
        <f t="shared" si="130"/>
        <v>0</v>
      </c>
      <c r="V210" s="70">
        <f t="shared" si="112"/>
        <v>0.27500000000000002</v>
      </c>
    </row>
    <row r="211" spans="1:22" ht="18.75">
      <c r="A211" s="60"/>
      <c r="B211" s="32" t="s">
        <v>17</v>
      </c>
      <c r="C211" s="31"/>
      <c r="D211" s="31"/>
      <c r="E211" s="31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70"/>
    </row>
    <row r="212" spans="1:22" ht="99">
      <c r="A212" s="60"/>
      <c r="B212" s="34" t="s">
        <v>190</v>
      </c>
      <c r="C212" s="31">
        <v>840</v>
      </c>
      <c r="D212" s="33" t="s">
        <v>94</v>
      </c>
      <c r="E212" s="31" t="s">
        <v>191</v>
      </c>
      <c r="F212" s="49">
        <f t="shared" ref="F212:R213" si="131">G212+H212+I212</f>
        <v>42573.3</v>
      </c>
      <c r="G212" s="54">
        <f>9100-7000</f>
        <v>2100</v>
      </c>
      <c r="H212" s="54">
        <v>40473.300000000003</v>
      </c>
      <c r="I212" s="54"/>
      <c r="J212" s="49">
        <f t="shared" si="131"/>
        <v>12706.2</v>
      </c>
      <c r="K212" s="54">
        <v>2000</v>
      </c>
      <c r="L212" s="54">
        <v>10706.2</v>
      </c>
      <c r="M212" s="54"/>
      <c r="N212" s="49">
        <f t="shared" si="131"/>
        <v>9881.7999999999993</v>
      </c>
      <c r="O212" s="54"/>
      <c r="P212" s="54">
        <v>9881.7999999999993</v>
      </c>
      <c r="Q212" s="54"/>
      <c r="R212" s="49">
        <f t="shared" si="131"/>
        <v>8916.6</v>
      </c>
      <c r="S212" s="54"/>
      <c r="T212" s="54">
        <v>8916.6</v>
      </c>
      <c r="U212" s="54"/>
      <c r="V212" s="73">
        <f t="shared" si="112"/>
        <v>0.29799999999999999</v>
      </c>
    </row>
    <row r="213" spans="1:22" ht="66">
      <c r="A213" s="60"/>
      <c r="B213" s="34" t="s">
        <v>354</v>
      </c>
      <c r="C213" s="31">
        <v>816</v>
      </c>
      <c r="D213" s="33" t="s">
        <v>71</v>
      </c>
      <c r="E213" s="31" t="s">
        <v>355</v>
      </c>
      <c r="F213" s="49">
        <f t="shared" si="131"/>
        <v>4351.3999999999996</v>
      </c>
      <c r="G213" s="54">
        <v>4351.3999999999996</v>
      </c>
      <c r="H213" s="54"/>
      <c r="I213" s="54"/>
      <c r="J213" s="49">
        <f t="shared" si="131"/>
        <v>203.3</v>
      </c>
      <c r="K213" s="54">
        <f>124.2+79.1</f>
        <v>203.3</v>
      </c>
      <c r="L213" s="54"/>
      <c r="M213" s="54"/>
      <c r="N213" s="49">
        <f t="shared" si="131"/>
        <v>0</v>
      </c>
      <c r="O213" s="54"/>
      <c r="P213" s="54"/>
      <c r="Q213" s="54"/>
      <c r="R213" s="49">
        <f t="shared" si="131"/>
        <v>0</v>
      </c>
      <c r="S213" s="54"/>
      <c r="T213" s="54"/>
      <c r="U213" s="54"/>
      <c r="V213" s="73">
        <f t="shared" si="112"/>
        <v>4.7E-2</v>
      </c>
    </row>
    <row r="214" spans="1:22" ht="69.75" customHeight="1">
      <c r="A214" s="28" t="s">
        <v>162</v>
      </c>
      <c r="B214" s="28" t="s">
        <v>163</v>
      </c>
      <c r="C214" s="29" t="s">
        <v>14</v>
      </c>
      <c r="D214" s="29" t="s">
        <v>14</v>
      </c>
      <c r="E214" s="46" t="s">
        <v>14</v>
      </c>
      <c r="F214" s="49">
        <f t="shared" ref="F214:U214" si="132">SUM(F216:F218)</f>
        <v>65142.9</v>
      </c>
      <c r="G214" s="49">
        <f t="shared" si="132"/>
        <v>15049.3</v>
      </c>
      <c r="H214" s="49">
        <f t="shared" si="132"/>
        <v>50093.599999999999</v>
      </c>
      <c r="I214" s="49">
        <f t="shared" si="132"/>
        <v>0</v>
      </c>
      <c r="J214" s="49">
        <f t="shared" si="132"/>
        <v>593.9</v>
      </c>
      <c r="K214" s="49">
        <f t="shared" si="132"/>
        <v>593.9</v>
      </c>
      <c r="L214" s="49">
        <f t="shared" si="132"/>
        <v>0</v>
      </c>
      <c r="M214" s="49">
        <f t="shared" si="132"/>
        <v>0</v>
      </c>
      <c r="N214" s="49">
        <f t="shared" si="132"/>
        <v>39003.9</v>
      </c>
      <c r="O214" s="49">
        <f t="shared" si="132"/>
        <v>14265.1</v>
      </c>
      <c r="P214" s="49">
        <f t="shared" si="132"/>
        <v>24738.799999999999</v>
      </c>
      <c r="Q214" s="49">
        <f t="shared" si="132"/>
        <v>0</v>
      </c>
      <c r="R214" s="49">
        <f t="shared" si="132"/>
        <v>36859.5</v>
      </c>
      <c r="S214" s="49">
        <f t="shared" si="132"/>
        <v>14200.8</v>
      </c>
      <c r="T214" s="49">
        <f t="shared" si="132"/>
        <v>22658.7</v>
      </c>
      <c r="U214" s="49">
        <f t="shared" si="132"/>
        <v>0</v>
      </c>
      <c r="V214" s="70">
        <f t="shared" si="112"/>
        <v>8.9999999999999993E-3</v>
      </c>
    </row>
    <row r="215" spans="1:22" ht="18.75">
      <c r="A215" s="60"/>
      <c r="B215" s="32" t="s">
        <v>17</v>
      </c>
      <c r="C215" s="31"/>
      <c r="D215" s="33"/>
      <c r="E215" s="31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70"/>
    </row>
    <row r="216" spans="1:22" ht="132">
      <c r="A216" s="60"/>
      <c r="B216" s="34" t="s">
        <v>196</v>
      </c>
      <c r="C216" s="31">
        <v>839</v>
      </c>
      <c r="D216" s="33" t="s">
        <v>18</v>
      </c>
      <c r="E216" s="31" t="s">
        <v>197</v>
      </c>
      <c r="F216" s="49">
        <f t="shared" ref="F216:R218" si="133">G216+H216+I216</f>
        <v>4223.7</v>
      </c>
      <c r="G216" s="54">
        <v>126.7</v>
      </c>
      <c r="H216" s="54">
        <v>4097</v>
      </c>
      <c r="I216" s="54"/>
      <c r="J216" s="49">
        <f t="shared" si="133"/>
        <v>0</v>
      </c>
      <c r="K216" s="54"/>
      <c r="L216" s="54"/>
      <c r="M216" s="54"/>
      <c r="N216" s="49">
        <f t="shared" si="133"/>
        <v>4257.1000000000004</v>
      </c>
      <c r="O216" s="54">
        <v>127.7</v>
      </c>
      <c r="P216" s="54">
        <v>4129.3999999999996</v>
      </c>
      <c r="Q216" s="54"/>
      <c r="R216" s="49">
        <f t="shared" si="133"/>
        <v>4257.1000000000004</v>
      </c>
      <c r="S216" s="54">
        <v>127.7</v>
      </c>
      <c r="T216" s="54">
        <v>4129.3999999999996</v>
      </c>
      <c r="U216" s="54"/>
      <c r="V216" s="73">
        <f t="shared" si="112"/>
        <v>0</v>
      </c>
    </row>
    <row r="217" spans="1:22" ht="115.5">
      <c r="A217" s="60"/>
      <c r="B217" s="34" t="s">
        <v>195</v>
      </c>
      <c r="C217" s="31">
        <v>839</v>
      </c>
      <c r="D217" s="33" t="s">
        <v>18</v>
      </c>
      <c r="E217" s="31" t="s">
        <v>194</v>
      </c>
      <c r="F217" s="49">
        <f t="shared" si="133"/>
        <v>17419.2</v>
      </c>
      <c r="G217" s="54">
        <v>522.6</v>
      </c>
      <c r="H217" s="54">
        <v>16896.599999999999</v>
      </c>
      <c r="I217" s="54"/>
      <c r="J217" s="49">
        <f t="shared" si="133"/>
        <v>0</v>
      </c>
      <c r="K217" s="54"/>
      <c r="L217" s="54"/>
      <c r="M217" s="54"/>
      <c r="N217" s="49">
        <f t="shared" si="133"/>
        <v>13946.8</v>
      </c>
      <c r="O217" s="54">
        <v>418.4</v>
      </c>
      <c r="P217" s="54">
        <v>13528.4</v>
      </c>
      <c r="Q217" s="54"/>
      <c r="R217" s="49">
        <f t="shared" si="133"/>
        <v>11102.4</v>
      </c>
      <c r="S217" s="54">
        <v>333.1</v>
      </c>
      <c r="T217" s="54">
        <v>10769.3</v>
      </c>
      <c r="U217" s="54"/>
      <c r="V217" s="73">
        <f t="shared" si="112"/>
        <v>0</v>
      </c>
    </row>
    <row r="218" spans="1:22" ht="49.5">
      <c r="A218" s="60"/>
      <c r="B218" s="34" t="s">
        <v>192</v>
      </c>
      <c r="C218" s="31">
        <v>839</v>
      </c>
      <c r="D218" s="33" t="s">
        <v>18</v>
      </c>
      <c r="E218" s="31" t="s">
        <v>193</v>
      </c>
      <c r="F218" s="49">
        <f t="shared" si="133"/>
        <v>43500</v>
      </c>
      <c r="G218" s="54">
        <v>14400</v>
      </c>
      <c r="H218" s="54">
        <v>29100</v>
      </c>
      <c r="I218" s="54"/>
      <c r="J218" s="49">
        <f t="shared" si="133"/>
        <v>593.9</v>
      </c>
      <c r="K218" s="54">
        <v>593.9</v>
      </c>
      <c r="L218" s="54"/>
      <c r="M218" s="54"/>
      <c r="N218" s="49">
        <f t="shared" si="133"/>
        <v>20800</v>
      </c>
      <c r="O218" s="54">
        <v>13719</v>
      </c>
      <c r="P218" s="54">
        <v>7081</v>
      </c>
      <c r="Q218" s="54"/>
      <c r="R218" s="49">
        <f t="shared" si="133"/>
        <v>21500</v>
      </c>
      <c r="S218" s="54">
        <v>13740</v>
      </c>
      <c r="T218" s="54">
        <v>7760</v>
      </c>
      <c r="U218" s="54"/>
      <c r="V218" s="73">
        <f t="shared" si="112"/>
        <v>1.4E-2</v>
      </c>
    </row>
    <row r="219" spans="1:22" ht="33">
      <c r="A219" s="22">
        <v>11</v>
      </c>
      <c r="B219" s="22" t="s">
        <v>210</v>
      </c>
      <c r="C219" s="1" t="s">
        <v>14</v>
      </c>
      <c r="D219" s="1" t="s">
        <v>14</v>
      </c>
      <c r="E219" s="26" t="s">
        <v>14</v>
      </c>
      <c r="F219" s="48">
        <f t="shared" ref="F219:U219" si="134">F220+F223+F226</f>
        <v>12200</v>
      </c>
      <c r="G219" s="48">
        <f t="shared" si="134"/>
        <v>12200</v>
      </c>
      <c r="H219" s="48">
        <f t="shared" ref="H219" si="135">H220+H223+H226</f>
        <v>0</v>
      </c>
      <c r="I219" s="48">
        <f t="shared" si="134"/>
        <v>0</v>
      </c>
      <c r="J219" s="48">
        <f t="shared" si="134"/>
        <v>1650</v>
      </c>
      <c r="K219" s="48">
        <f t="shared" si="134"/>
        <v>1650</v>
      </c>
      <c r="L219" s="48">
        <f t="shared" si="134"/>
        <v>0</v>
      </c>
      <c r="M219" s="48">
        <f t="shared" si="134"/>
        <v>0</v>
      </c>
      <c r="N219" s="48">
        <f t="shared" si="134"/>
        <v>0</v>
      </c>
      <c r="O219" s="48">
        <f t="shared" si="134"/>
        <v>0</v>
      </c>
      <c r="P219" s="48">
        <f t="shared" si="134"/>
        <v>0</v>
      </c>
      <c r="Q219" s="48">
        <f t="shared" si="134"/>
        <v>0</v>
      </c>
      <c r="R219" s="48">
        <f t="shared" si="134"/>
        <v>51546.400000000001</v>
      </c>
      <c r="S219" s="48">
        <f t="shared" si="134"/>
        <v>1546.4</v>
      </c>
      <c r="T219" s="48">
        <f t="shared" si="134"/>
        <v>50000</v>
      </c>
      <c r="U219" s="48">
        <f t="shared" si="134"/>
        <v>0</v>
      </c>
      <c r="V219" s="69">
        <f t="shared" si="112"/>
        <v>0.13500000000000001</v>
      </c>
    </row>
    <row r="220" spans="1:22" ht="49.5">
      <c r="A220" s="57" t="s">
        <v>208</v>
      </c>
      <c r="B220" s="15" t="s">
        <v>209</v>
      </c>
      <c r="C220" s="6" t="s">
        <v>14</v>
      </c>
      <c r="D220" s="6" t="s">
        <v>14</v>
      </c>
      <c r="E220" s="6" t="s">
        <v>14</v>
      </c>
      <c r="F220" s="51">
        <f t="shared" ref="F220:U220" si="136">F222</f>
        <v>0</v>
      </c>
      <c r="G220" s="49">
        <f t="shared" si="136"/>
        <v>0</v>
      </c>
      <c r="H220" s="49">
        <f t="shared" ref="H220" si="137">H222</f>
        <v>0</v>
      </c>
      <c r="I220" s="49">
        <f t="shared" si="136"/>
        <v>0</v>
      </c>
      <c r="J220" s="51">
        <f t="shared" si="136"/>
        <v>0</v>
      </c>
      <c r="K220" s="51">
        <f t="shared" si="136"/>
        <v>0</v>
      </c>
      <c r="L220" s="49">
        <f t="shared" si="136"/>
        <v>0</v>
      </c>
      <c r="M220" s="49">
        <f t="shared" si="136"/>
        <v>0</v>
      </c>
      <c r="N220" s="51">
        <f t="shared" si="136"/>
        <v>0</v>
      </c>
      <c r="O220" s="49">
        <f t="shared" si="136"/>
        <v>0</v>
      </c>
      <c r="P220" s="49">
        <f t="shared" si="136"/>
        <v>0</v>
      </c>
      <c r="Q220" s="49">
        <f t="shared" si="136"/>
        <v>0</v>
      </c>
      <c r="R220" s="51">
        <f t="shared" si="136"/>
        <v>51546.400000000001</v>
      </c>
      <c r="S220" s="49">
        <f t="shared" si="136"/>
        <v>1546.4</v>
      </c>
      <c r="T220" s="49">
        <f t="shared" si="136"/>
        <v>50000</v>
      </c>
      <c r="U220" s="49">
        <f t="shared" si="136"/>
        <v>0</v>
      </c>
      <c r="V220" s="70"/>
    </row>
    <row r="221" spans="1:22" ht="18.75">
      <c r="A221" s="58"/>
      <c r="B221" s="18" t="s">
        <v>17</v>
      </c>
      <c r="C221" s="7"/>
      <c r="D221" s="7"/>
      <c r="E221" s="7"/>
      <c r="F221" s="51"/>
      <c r="G221" s="49"/>
      <c r="H221" s="49"/>
      <c r="I221" s="49"/>
      <c r="J221" s="51"/>
      <c r="K221" s="51"/>
      <c r="L221" s="49"/>
      <c r="M221" s="49"/>
      <c r="N221" s="51"/>
      <c r="O221" s="49"/>
      <c r="P221" s="49"/>
      <c r="Q221" s="49"/>
      <c r="R221" s="51"/>
      <c r="S221" s="49"/>
      <c r="T221" s="49"/>
      <c r="U221" s="49"/>
      <c r="V221" s="70"/>
    </row>
    <row r="222" spans="1:22" ht="49.5">
      <c r="A222" s="58"/>
      <c r="B222" s="18" t="s">
        <v>211</v>
      </c>
      <c r="C222" s="7">
        <v>818</v>
      </c>
      <c r="D222" s="8" t="s">
        <v>212</v>
      </c>
      <c r="E222" s="7" t="s">
        <v>213</v>
      </c>
      <c r="F222" s="51">
        <f t="shared" ref="F222:R222" si="138">G222+H222+I222</f>
        <v>0</v>
      </c>
      <c r="G222" s="54"/>
      <c r="H222" s="54"/>
      <c r="I222" s="54"/>
      <c r="J222" s="51">
        <f t="shared" si="138"/>
        <v>0</v>
      </c>
      <c r="K222" s="55"/>
      <c r="L222" s="54"/>
      <c r="M222" s="54"/>
      <c r="N222" s="51">
        <f t="shared" si="138"/>
        <v>0</v>
      </c>
      <c r="O222" s="54"/>
      <c r="P222" s="54"/>
      <c r="Q222" s="54"/>
      <c r="R222" s="51">
        <f t="shared" si="138"/>
        <v>51546.400000000001</v>
      </c>
      <c r="S222" s="54">
        <v>1546.4</v>
      </c>
      <c r="T222" s="54">
        <v>50000</v>
      </c>
      <c r="U222" s="54"/>
      <c r="V222" s="73"/>
    </row>
    <row r="223" spans="1:22" ht="49.5">
      <c r="A223" s="57" t="s">
        <v>292</v>
      </c>
      <c r="B223" s="15" t="s">
        <v>293</v>
      </c>
      <c r="C223" s="6" t="s">
        <v>14</v>
      </c>
      <c r="D223" s="6" t="s">
        <v>14</v>
      </c>
      <c r="E223" s="6" t="s">
        <v>14</v>
      </c>
      <c r="F223" s="51">
        <f t="shared" ref="F223:U223" si="139">F225</f>
        <v>10200</v>
      </c>
      <c r="G223" s="49">
        <f t="shared" si="139"/>
        <v>10200</v>
      </c>
      <c r="H223" s="49">
        <f t="shared" ref="H223" si="140">H225</f>
        <v>0</v>
      </c>
      <c r="I223" s="49">
        <f t="shared" si="139"/>
        <v>0</v>
      </c>
      <c r="J223" s="51">
        <f t="shared" si="139"/>
        <v>0</v>
      </c>
      <c r="K223" s="51">
        <f t="shared" si="139"/>
        <v>0</v>
      </c>
      <c r="L223" s="49">
        <f t="shared" si="139"/>
        <v>0</v>
      </c>
      <c r="M223" s="49">
        <f t="shared" si="139"/>
        <v>0</v>
      </c>
      <c r="N223" s="51">
        <f t="shared" si="139"/>
        <v>0</v>
      </c>
      <c r="O223" s="49">
        <f t="shared" si="139"/>
        <v>0</v>
      </c>
      <c r="P223" s="49">
        <f t="shared" si="139"/>
        <v>0</v>
      </c>
      <c r="Q223" s="49">
        <f t="shared" si="139"/>
        <v>0</v>
      </c>
      <c r="R223" s="51">
        <f t="shared" si="139"/>
        <v>0</v>
      </c>
      <c r="S223" s="49">
        <f t="shared" si="139"/>
        <v>0</v>
      </c>
      <c r="T223" s="49">
        <f t="shared" si="139"/>
        <v>0</v>
      </c>
      <c r="U223" s="49">
        <f t="shared" si="139"/>
        <v>0</v>
      </c>
      <c r="V223" s="70">
        <f t="shared" si="112"/>
        <v>0</v>
      </c>
    </row>
    <row r="224" spans="1:22" ht="18.75">
      <c r="A224" s="58"/>
      <c r="B224" s="18" t="s">
        <v>17</v>
      </c>
      <c r="C224" s="7"/>
      <c r="D224" s="8"/>
      <c r="E224" s="7"/>
      <c r="F224" s="51"/>
      <c r="G224" s="49"/>
      <c r="H224" s="49"/>
      <c r="I224" s="49"/>
      <c r="J224" s="51"/>
      <c r="K224" s="51"/>
      <c r="L224" s="49"/>
      <c r="M224" s="49"/>
      <c r="N224" s="51"/>
      <c r="O224" s="49"/>
      <c r="P224" s="49"/>
      <c r="Q224" s="49"/>
      <c r="R224" s="51"/>
      <c r="S224" s="49"/>
      <c r="T224" s="49"/>
      <c r="U224" s="49"/>
      <c r="V224" s="70"/>
    </row>
    <row r="225" spans="1:22" ht="33">
      <c r="A225" s="58"/>
      <c r="B225" s="18" t="s">
        <v>294</v>
      </c>
      <c r="C225" s="7">
        <v>804</v>
      </c>
      <c r="D225" s="8" t="s">
        <v>97</v>
      </c>
      <c r="E225" s="7" t="s">
        <v>295</v>
      </c>
      <c r="F225" s="51">
        <f t="shared" ref="F225:R225" si="141">G225+H225+I225</f>
        <v>10200</v>
      </c>
      <c r="G225" s="54">
        <v>10200</v>
      </c>
      <c r="H225" s="54"/>
      <c r="I225" s="54"/>
      <c r="J225" s="51">
        <f t="shared" si="141"/>
        <v>0</v>
      </c>
      <c r="K225" s="55"/>
      <c r="L225" s="54"/>
      <c r="M225" s="54"/>
      <c r="N225" s="51">
        <f t="shared" si="141"/>
        <v>0</v>
      </c>
      <c r="O225" s="54"/>
      <c r="P225" s="54"/>
      <c r="Q225" s="54"/>
      <c r="R225" s="51">
        <f t="shared" si="141"/>
        <v>0</v>
      </c>
      <c r="S225" s="54"/>
      <c r="T225" s="54"/>
      <c r="U225" s="54"/>
      <c r="V225" s="73">
        <f t="shared" si="112"/>
        <v>0</v>
      </c>
    </row>
    <row r="226" spans="1:22" ht="18.75">
      <c r="A226" s="57" t="s">
        <v>303</v>
      </c>
      <c r="B226" s="15" t="s">
        <v>304</v>
      </c>
      <c r="C226" s="6" t="s">
        <v>14</v>
      </c>
      <c r="D226" s="6" t="s">
        <v>14</v>
      </c>
      <c r="E226" s="6" t="s">
        <v>14</v>
      </c>
      <c r="F226" s="51">
        <f t="shared" ref="F226:U226" si="142">SUM(F228:F229)</f>
        <v>2000</v>
      </c>
      <c r="G226" s="49">
        <f t="shared" si="142"/>
        <v>2000</v>
      </c>
      <c r="H226" s="49">
        <f t="shared" ref="H226" si="143">SUM(H228:H229)</f>
        <v>0</v>
      </c>
      <c r="I226" s="49">
        <f t="shared" si="142"/>
        <v>0</v>
      </c>
      <c r="J226" s="51">
        <f t="shared" si="142"/>
        <v>1650</v>
      </c>
      <c r="K226" s="51">
        <f t="shared" si="142"/>
        <v>1650</v>
      </c>
      <c r="L226" s="49">
        <f t="shared" si="142"/>
        <v>0</v>
      </c>
      <c r="M226" s="49">
        <f t="shared" si="142"/>
        <v>0</v>
      </c>
      <c r="N226" s="51">
        <f t="shared" si="142"/>
        <v>0</v>
      </c>
      <c r="O226" s="49">
        <f t="shared" si="142"/>
        <v>0</v>
      </c>
      <c r="P226" s="49">
        <f t="shared" si="142"/>
        <v>0</v>
      </c>
      <c r="Q226" s="49">
        <f t="shared" si="142"/>
        <v>0</v>
      </c>
      <c r="R226" s="51">
        <f t="shared" si="142"/>
        <v>0</v>
      </c>
      <c r="S226" s="49">
        <f t="shared" si="142"/>
        <v>0</v>
      </c>
      <c r="T226" s="49">
        <f t="shared" si="142"/>
        <v>0</v>
      </c>
      <c r="U226" s="49">
        <f t="shared" si="142"/>
        <v>0</v>
      </c>
      <c r="V226" s="70">
        <f t="shared" si="112"/>
        <v>0.82499999999999996</v>
      </c>
    </row>
    <row r="227" spans="1:22" ht="18.75">
      <c r="A227" s="58"/>
      <c r="B227" s="18" t="s">
        <v>17</v>
      </c>
      <c r="C227" s="7"/>
      <c r="D227" s="8"/>
      <c r="E227" s="7"/>
      <c r="F227" s="51"/>
      <c r="G227" s="49"/>
      <c r="H227" s="49"/>
      <c r="I227" s="49"/>
      <c r="J227" s="51"/>
      <c r="K227" s="51"/>
      <c r="L227" s="49"/>
      <c r="M227" s="49"/>
      <c r="N227" s="51"/>
      <c r="O227" s="49"/>
      <c r="P227" s="49"/>
      <c r="Q227" s="49"/>
      <c r="R227" s="51"/>
      <c r="S227" s="49"/>
      <c r="T227" s="49"/>
      <c r="U227" s="49"/>
      <c r="V227" s="70"/>
    </row>
    <row r="228" spans="1:22" ht="49.5">
      <c r="A228" s="58"/>
      <c r="B228" s="18" t="s">
        <v>305</v>
      </c>
      <c r="C228" s="7">
        <v>804</v>
      </c>
      <c r="D228" s="8" t="s">
        <v>97</v>
      </c>
      <c r="E228" s="7" t="s">
        <v>306</v>
      </c>
      <c r="F228" s="51">
        <f t="shared" ref="F228:R229" si="144">G228+H228+I228</f>
        <v>1650</v>
      </c>
      <c r="G228" s="54">
        <v>1650</v>
      </c>
      <c r="H228" s="54"/>
      <c r="I228" s="54"/>
      <c r="J228" s="51">
        <f t="shared" si="144"/>
        <v>1650</v>
      </c>
      <c r="K228" s="55">
        <v>1650</v>
      </c>
      <c r="L228" s="54"/>
      <c r="M228" s="54"/>
      <c r="N228" s="51">
        <f t="shared" si="144"/>
        <v>0</v>
      </c>
      <c r="O228" s="54"/>
      <c r="P228" s="54"/>
      <c r="Q228" s="54"/>
      <c r="R228" s="51">
        <f t="shared" si="144"/>
        <v>0</v>
      </c>
      <c r="S228" s="54"/>
      <c r="T228" s="54"/>
      <c r="U228" s="54"/>
      <c r="V228" s="73">
        <f t="shared" si="112"/>
        <v>1</v>
      </c>
    </row>
    <row r="229" spans="1:22" ht="49.5">
      <c r="A229" s="58"/>
      <c r="B229" s="18" t="s">
        <v>310</v>
      </c>
      <c r="C229" s="7">
        <v>804</v>
      </c>
      <c r="D229" s="8" t="s">
        <v>97</v>
      </c>
      <c r="E229" s="7" t="s">
        <v>309</v>
      </c>
      <c r="F229" s="51">
        <f t="shared" si="144"/>
        <v>350</v>
      </c>
      <c r="G229" s="54">
        <v>350</v>
      </c>
      <c r="H229" s="54"/>
      <c r="I229" s="54"/>
      <c r="J229" s="51">
        <f t="shared" si="144"/>
        <v>0</v>
      </c>
      <c r="K229" s="55"/>
      <c r="L229" s="54"/>
      <c r="M229" s="54"/>
      <c r="N229" s="51">
        <f t="shared" si="144"/>
        <v>0</v>
      </c>
      <c r="O229" s="54"/>
      <c r="P229" s="54"/>
      <c r="Q229" s="54"/>
      <c r="R229" s="51">
        <f t="shared" si="144"/>
        <v>0</v>
      </c>
      <c r="S229" s="54"/>
      <c r="T229" s="54"/>
      <c r="U229" s="54"/>
      <c r="V229" s="73">
        <f t="shared" si="112"/>
        <v>0</v>
      </c>
    </row>
    <row r="230" spans="1:22">
      <c r="A230" s="11"/>
      <c r="B230" s="20" t="s">
        <v>377</v>
      </c>
      <c r="C230" s="11"/>
      <c r="D230" s="11"/>
      <c r="E230" s="11"/>
      <c r="T230" s="64"/>
    </row>
    <row r="231" spans="1:22">
      <c r="A231" s="11"/>
      <c r="B231" s="20" t="s">
        <v>164</v>
      </c>
      <c r="C231" s="11"/>
      <c r="D231" s="11"/>
      <c r="E231" s="11"/>
      <c r="T231" s="64"/>
    </row>
    <row r="232" spans="1:22">
      <c r="T232" s="64"/>
    </row>
    <row r="233" spans="1:22">
      <c r="T233" s="64"/>
    </row>
    <row r="234" spans="1:22">
      <c r="T234" s="64"/>
    </row>
    <row r="238" spans="1:22" ht="22.15" customHeight="1"/>
    <row r="239" spans="1:22" ht="22.15" customHeight="1"/>
    <row r="240" spans="1:22" ht="22.15" customHeight="1"/>
    <row r="241" ht="22.15" customHeight="1"/>
    <row r="242" ht="21" customHeight="1"/>
    <row r="243" ht="21" customHeight="1"/>
    <row r="244" ht="21" customHeight="1"/>
    <row r="245" ht="21" customHeight="1"/>
    <row r="246" ht="17.45" customHeight="1"/>
    <row r="247" ht="16.149999999999999" customHeight="1"/>
    <row r="248" ht="17.45" customHeight="1"/>
    <row r="249" ht="20.45" customHeight="1"/>
    <row r="250" ht="16.149999999999999" customHeight="1"/>
    <row r="251" ht="17.45" customHeight="1"/>
    <row r="252" ht="17.45" customHeight="1"/>
  </sheetData>
  <autoFilter ref="A4:V231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</autoFilter>
  <mergeCells count="16">
    <mergeCell ref="V4:V6"/>
    <mergeCell ref="N5:Q5"/>
    <mergeCell ref="R5:U5"/>
    <mergeCell ref="N4:Q4"/>
    <mergeCell ref="R4:U4"/>
    <mergeCell ref="M138:M139"/>
    <mergeCell ref="I138:I139"/>
    <mergeCell ref="A1:E2"/>
    <mergeCell ref="E4:E6"/>
    <mergeCell ref="D4:D6"/>
    <mergeCell ref="F4:M4"/>
    <mergeCell ref="F5:I5"/>
    <mergeCell ref="J5:M5"/>
    <mergeCell ref="A4:A6"/>
    <mergeCell ref="B4:B6"/>
    <mergeCell ref="C4:C6"/>
  </mergeCells>
  <printOptions horizontalCentered="1"/>
  <pageMargins left="0" right="0" top="0" bottom="0" header="0.31496062992125984" footer="0.31496062992125984"/>
  <pageSetup paperSize="9" scale="5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2020-04-23T05:00:01Z</dcterms:modified>
</cp:coreProperties>
</file>