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3" sheetId="3" r:id="rId2"/>
  </sheets>
  <definedNames>
    <definedName name="_xlnm.Print_Titles" localSheetId="0">Лист1!$4:$7</definedName>
  </definedNames>
  <calcPr calcId="125725"/>
</workbook>
</file>

<file path=xl/calcChain.xml><?xml version="1.0" encoding="utf-8"?>
<calcChain xmlns="http://schemas.openxmlformats.org/spreadsheetml/2006/main">
  <c r="I159" i="1"/>
  <c r="N24" l="1"/>
  <c r="L12"/>
  <c r="K12"/>
  <c r="J197" l="1"/>
  <c r="L128"/>
  <c r="K128"/>
  <c r="L155"/>
  <c r="K17"/>
  <c r="L17"/>
  <c r="L159"/>
  <c r="K159"/>
  <c r="L160"/>
  <c r="G118"/>
  <c r="G119"/>
  <c r="G120"/>
  <c r="G116"/>
  <c r="G117"/>
  <c r="K155"/>
  <c r="L36"/>
  <c r="J191"/>
  <c r="V13"/>
  <c r="V15"/>
  <c r="V16"/>
  <c r="V18"/>
  <c r="V37"/>
  <c r="V38"/>
  <c r="V40"/>
  <c r="V41"/>
  <c r="V42"/>
  <c r="V45"/>
  <c r="V46"/>
  <c r="V47"/>
  <c r="V48"/>
  <c r="V49"/>
  <c r="V50"/>
  <c r="V52"/>
  <c r="V53"/>
  <c r="V54"/>
  <c r="V56"/>
  <c r="V57"/>
  <c r="V58"/>
  <c r="V60"/>
  <c r="V61"/>
  <c r="V62"/>
  <c r="V64"/>
  <c r="V65"/>
  <c r="V71"/>
  <c r="V72"/>
  <c r="V76"/>
  <c r="V78"/>
  <c r="V79"/>
  <c r="V80"/>
  <c r="V81"/>
  <c r="V82"/>
  <c r="V84"/>
  <c r="V85"/>
  <c r="V86"/>
  <c r="V87"/>
  <c r="V88"/>
  <c r="V89"/>
  <c r="V92"/>
  <c r="V95"/>
  <c r="V96"/>
  <c r="V97"/>
  <c r="V98"/>
  <c r="V100"/>
  <c r="V101"/>
  <c r="V103"/>
  <c r="V104"/>
  <c r="V105"/>
  <c r="V106"/>
  <c r="V107"/>
  <c r="V109"/>
  <c r="V110"/>
  <c r="V112"/>
  <c r="V115"/>
  <c r="V121"/>
  <c r="V122"/>
  <c r="V124"/>
  <c r="V129"/>
  <c r="V130"/>
  <c r="V135"/>
  <c r="V136"/>
  <c r="V137"/>
  <c r="V138"/>
  <c r="V140"/>
  <c r="V141"/>
  <c r="V142"/>
  <c r="V143"/>
  <c r="V145"/>
  <c r="V146"/>
  <c r="V148"/>
  <c r="V149"/>
  <c r="V151"/>
  <c r="V161"/>
  <c r="V163"/>
  <c r="V164"/>
  <c r="V166"/>
  <c r="V167"/>
  <c r="V168"/>
  <c r="V169"/>
  <c r="V172"/>
  <c r="V173"/>
  <c r="V175"/>
  <c r="V176"/>
  <c r="V177"/>
  <c r="V178"/>
  <c r="V179"/>
  <c r="V181"/>
  <c r="V182"/>
  <c r="V185"/>
  <c r="V186"/>
  <c r="V187"/>
  <c r="V191"/>
  <c r="V192"/>
  <c r="V194"/>
  <c r="V197"/>
  <c r="V198"/>
  <c r="K117"/>
  <c r="L142"/>
  <c r="K37"/>
  <c r="K167"/>
  <c r="K98"/>
  <c r="L92"/>
  <c r="K92"/>
  <c r="K194"/>
  <c r="J178"/>
  <c r="K120"/>
  <c r="K95"/>
  <c r="K101"/>
  <c r="H140"/>
  <c r="L177"/>
  <c r="K177"/>
  <c r="G177"/>
  <c r="H177"/>
  <c r="J167" l="1"/>
  <c r="J163"/>
  <c r="J70"/>
  <c r="L68"/>
  <c r="N160"/>
  <c r="V70" l="1"/>
  <c r="I135"/>
  <c r="O126"/>
  <c r="P126"/>
  <c r="Q126"/>
  <c r="R126"/>
  <c r="N129"/>
  <c r="J23"/>
  <c r="G20"/>
  <c r="H20"/>
  <c r="I20"/>
  <c r="K20"/>
  <c r="L20"/>
  <c r="M20"/>
  <c r="K86" l="1"/>
  <c r="K85"/>
  <c r="K48"/>
  <c r="G113"/>
  <c r="G103"/>
  <c r="F103"/>
  <c r="S68"/>
  <c r="T68"/>
  <c r="R68"/>
  <c r="R74"/>
  <c r="S73"/>
  <c r="N68"/>
  <c r="H113"/>
  <c r="I113"/>
  <c r="L113"/>
  <c r="M113"/>
  <c r="N113"/>
  <c r="O113"/>
  <c r="P113"/>
  <c r="F115"/>
  <c r="K124"/>
  <c r="J140"/>
  <c r="G130"/>
  <c r="H130"/>
  <c r="I130"/>
  <c r="F136"/>
  <c r="F135"/>
  <c r="F130" s="1"/>
  <c r="K113" l="1"/>
  <c r="G134"/>
  <c r="F134" s="1"/>
  <c r="H133"/>
  <c r="F133" s="1"/>
  <c r="G132"/>
  <c r="F132" s="1"/>
  <c r="H131"/>
  <c r="F131" s="1"/>
  <c r="G10"/>
  <c r="H10"/>
  <c r="I10"/>
  <c r="K10"/>
  <c r="L10"/>
  <c r="M10"/>
  <c r="N10"/>
  <c r="O10"/>
  <c r="P10"/>
  <c r="Q10"/>
  <c r="R10"/>
  <c r="S10"/>
  <c r="T10"/>
  <c r="U10"/>
  <c r="F15"/>
  <c r="S17"/>
  <c r="O17"/>
  <c r="N17" s="1"/>
  <c r="G17"/>
  <c r="S19"/>
  <c r="R19" s="1"/>
  <c r="O19"/>
  <c r="N19" s="1"/>
  <c r="G19"/>
  <c r="J36"/>
  <c r="V36" s="1"/>
  <c r="L163"/>
  <c r="L161" s="1"/>
  <c r="L157"/>
  <c r="J98"/>
  <c r="J92"/>
  <c r="O33"/>
  <c r="N33" s="1"/>
  <c r="N30" s="1"/>
  <c r="G33"/>
  <c r="F33" s="1"/>
  <c r="V33" s="1"/>
  <c r="G32"/>
  <c r="J101"/>
  <c r="J100" s="1"/>
  <c r="K80"/>
  <c r="J80" s="1"/>
  <c r="K87"/>
  <c r="J86"/>
  <c r="J85"/>
  <c r="F106"/>
  <c r="I103"/>
  <c r="J103"/>
  <c r="K103"/>
  <c r="H103"/>
  <c r="F105"/>
  <c r="F23"/>
  <c r="V23" s="1"/>
  <c r="M9"/>
  <c r="O20"/>
  <c r="P20"/>
  <c r="Q20"/>
  <c r="S20"/>
  <c r="T20"/>
  <c r="U20"/>
  <c r="J24"/>
  <c r="F24"/>
  <c r="K28"/>
  <c r="K29"/>
  <c r="K61"/>
  <c r="K58" s="1"/>
  <c r="S65"/>
  <c r="R65" s="1"/>
  <c r="O65"/>
  <c r="N65" s="1"/>
  <c r="G65"/>
  <c r="F65" s="1"/>
  <c r="O66"/>
  <c r="S66"/>
  <c r="R66" s="1"/>
  <c r="G66"/>
  <c r="K49"/>
  <c r="J49" s="1"/>
  <c r="L56"/>
  <c r="L54" s="1"/>
  <c r="K56"/>
  <c r="K62"/>
  <c r="L62"/>
  <c r="J64"/>
  <c r="J48"/>
  <c r="G48"/>
  <c r="F48" s="1"/>
  <c r="L46"/>
  <c r="L42" s="1"/>
  <c r="K46"/>
  <c r="K40"/>
  <c r="J40" s="1"/>
  <c r="J38" s="1"/>
  <c r="K57"/>
  <c r="K53"/>
  <c r="J53" s="1"/>
  <c r="J45"/>
  <c r="K47"/>
  <c r="J47" s="1"/>
  <c r="J187"/>
  <c r="H182"/>
  <c r="L13"/>
  <c r="J13" s="1"/>
  <c r="K13"/>
  <c r="H13"/>
  <c r="G13"/>
  <c r="H12"/>
  <c r="L195"/>
  <c r="L188" s="1"/>
  <c r="I195"/>
  <c r="I188" s="1"/>
  <c r="J195"/>
  <c r="V195" s="1"/>
  <c r="K195"/>
  <c r="J198"/>
  <c r="H198"/>
  <c r="G198"/>
  <c r="H197"/>
  <c r="G197"/>
  <c r="J194"/>
  <c r="J189" s="1"/>
  <c r="J181"/>
  <c r="J179" s="1"/>
  <c r="G173"/>
  <c r="H173"/>
  <c r="I173"/>
  <c r="J173"/>
  <c r="K173"/>
  <c r="L173"/>
  <c r="J177"/>
  <c r="H178"/>
  <c r="F178" s="1"/>
  <c r="G176"/>
  <c r="F176" s="1"/>
  <c r="H176"/>
  <c r="F194"/>
  <c r="G193"/>
  <c r="G189" s="1"/>
  <c r="F192"/>
  <c r="H191"/>
  <c r="F191" s="1"/>
  <c r="L189"/>
  <c r="K189"/>
  <c r="K188" s="1"/>
  <c r="I189"/>
  <c r="H189"/>
  <c r="R187"/>
  <c r="N187"/>
  <c r="F187"/>
  <c r="R186"/>
  <c r="N186"/>
  <c r="J186"/>
  <c r="R185"/>
  <c r="N185"/>
  <c r="J185"/>
  <c r="H185"/>
  <c r="G185"/>
  <c r="F185"/>
  <c r="S184"/>
  <c r="R184"/>
  <c r="O184"/>
  <c r="O182" s="1"/>
  <c r="N184"/>
  <c r="N182" s="1"/>
  <c r="G184"/>
  <c r="F184"/>
  <c r="U182"/>
  <c r="T182"/>
  <c r="S182"/>
  <c r="R182"/>
  <c r="Q182"/>
  <c r="P182"/>
  <c r="M182"/>
  <c r="L182"/>
  <c r="K182"/>
  <c r="I182"/>
  <c r="R181"/>
  <c r="N181"/>
  <c r="N179" s="1"/>
  <c r="H181"/>
  <c r="G181"/>
  <c r="F181" s="1"/>
  <c r="F179" s="1"/>
  <c r="U179"/>
  <c r="T179"/>
  <c r="S179"/>
  <c r="R179"/>
  <c r="Q179"/>
  <c r="P179"/>
  <c r="O179"/>
  <c r="M179"/>
  <c r="L179"/>
  <c r="K179"/>
  <c r="I179"/>
  <c r="H179"/>
  <c r="G179"/>
  <c r="R176"/>
  <c r="P176"/>
  <c r="P173" s="1"/>
  <c r="P168" s="1"/>
  <c r="O176"/>
  <c r="R175"/>
  <c r="R173" s="1"/>
  <c r="P175"/>
  <c r="O175"/>
  <c r="N175" s="1"/>
  <c r="L175"/>
  <c r="K175"/>
  <c r="H175"/>
  <c r="G175"/>
  <c r="F175" s="1"/>
  <c r="U173"/>
  <c r="T173"/>
  <c r="S173"/>
  <c r="S168" s="1"/>
  <c r="Q173"/>
  <c r="O173"/>
  <c r="M173"/>
  <c r="S172"/>
  <c r="R172" s="1"/>
  <c r="R169" s="1"/>
  <c r="O172"/>
  <c r="N172" s="1"/>
  <c r="J172"/>
  <c r="J169" s="1"/>
  <c r="H172"/>
  <c r="G172"/>
  <c r="F172" s="1"/>
  <c r="F169" s="1"/>
  <c r="T171"/>
  <c r="T169" s="1"/>
  <c r="T168" s="1"/>
  <c r="S171"/>
  <c r="R171"/>
  <c r="P171"/>
  <c r="O171"/>
  <c r="N171" s="1"/>
  <c r="U169"/>
  <c r="S169"/>
  <c r="Q169"/>
  <c r="P169"/>
  <c r="M169"/>
  <c r="L169"/>
  <c r="K169"/>
  <c r="I169"/>
  <c r="H169"/>
  <c r="U168"/>
  <c r="Q168"/>
  <c r="M168"/>
  <c r="I168"/>
  <c r="R167"/>
  <c r="N167"/>
  <c r="J164"/>
  <c r="F167"/>
  <c r="R166"/>
  <c r="N166"/>
  <c r="J166"/>
  <c r="F166"/>
  <c r="U164"/>
  <c r="T164"/>
  <c r="T156" s="1"/>
  <c r="S164"/>
  <c r="R164"/>
  <c r="Q164"/>
  <c r="P164"/>
  <c r="P156" s="1"/>
  <c r="O164"/>
  <c r="N164"/>
  <c r="M164"/>
  <c r="L164"/>
  <c r="I164"/>
  <c r="H164"/>
  <c r="H156" s="1"/>
  <c r="G164"/>
  <c r="F164"/>
  <c r="J161"/>
  <c r="F163"/>
  <c r="F161" s="1"/>
  <c r="U161"/>
  <c r="T161"/>
  <c r="S161"/>
  <c r="R161"/>
  <c r="Q161"/>
  <c r="P161"/>
  <c r="O161"/>
  <c r="N161"/>
  <c r="M161"/>
  <c r="K161"/>
  <c r="I161"/>
  <c r="H161"/>
  <c r="G161"/>
  <c r="F160"/>
  <c r="R159"/>
  <c r="R157" s="1"/>
  <c r="R156" s="1"/>
  <c r="N159"/>
  <c r="N157" s="1"/>
  <c r="N156" s="1"/>
  <c r="J159"/>
  <c r="V159" s="1"/>
  <c r="F159"/>
  <c r="U157"/>
  <c r="T157"/>
  <c r="S157"/>
  <c r="Q157"/>
  <c r="P157"/>
  <c r="O157"/>
  <c r="M157"/>
  <c r="M156" s="1"/>
  <c r="K157"/>
  <c r="I157"/>
  <c r="I156" s="1"/>
  <c r="H157"/>
  <c r="G157"/>
  <c r="U156"/>
  <c r="S156"/>
  <c r="Q156"/>
  <c r="O156"/>
  <c r="G156"/>
  <c r="R155"/>
  <c r="R153" s="1"/>
  <c r="R152" s="1"/>
  <c r="O155"/>
  <c r="N155"/>
  <c r="N153" s="1"/>
  <c r="N152" s="1"/>
  <c r="J155"/>
  <c r="G155"/>
  <c r="F155" s="1"/>
  <c r="F153" s="1"/>
  <c r="F152" s="1"/>
  <c r="U153"/>
  <c r="T153"/>
  <c r="S153"/>
  <c r="Q153"/>
  <c r="P153"/>
  <c r="O153"/>
  <c r="M153"/>
  <c r="M152" s="1"/>
  <c r="L153"/>
  <c r="L152" s="1"/>
  <c r="I153"/>
  <c r="H153"/>
  <c r="G153"/>
  <c r="U152"/>
  <c r="T152"/>
  <c r="S152"/>
  <c r="Q152"/>
  <c r="P152"/>
  <c r="O152"/>
  <c r="I152"/>
  <c r="H152"/>
  <c r="G152"/>
  <c r="R151"/>
  <c r="R149" s="1"/>
  <c r="N151"/>
  <c r="F151"/>
  <c r="U149"/>
  <c r="T149"/>
  <c r="S149"/>
  <c r="Q149"/>
  <c r="P149"/>
  <c r="O149"/>
  <c r="N149"/>
  <c r="M149"/>
  <c r="L149"/>
  <c r="K149"/>
  <c r="J149"/>
  <c r="I149"/>
  <c r="H149"/>
  <c r="G149"/>
  <c r="F149"/>
  <c r="F148"/>
  <c r="U146"/>
  <c r="T146"/>
  <c r="S146"/>
  <c r="R146"/>
  <c r="Q146"/>
  <c r="P146"/>
  <c r="O146"/>
  <c r="N146"/>
  <c r="M146"/>
  <c r="M137" s="1"/>
  <c r="L146"/>
  <c r="K146"/>
  <c r="J146"/>
  <c r="I146"/>
  <c r="I137" s="1"/>
  <c r="H146"/>
  <c r="G146"/>
  <c r="F146"/>
  <c r="R145"/>
  <c r="R143" s="1"/>
  <c r="N145"/>
  <c r="F145"/>
  <c r="U143"/>
  <c r="T143"/>
  <c r="T137" s="1"/>
  <c r="S143"/>
  <c r="Q143"/>
  <c r="P143"/>
  <c r="P137" s="1"/>
  <c r="O143"/>
  <c r="N143"/>
  <c r="M143"/>
  <c r="L143"/>
  <c r="K143"/>
  <c r="J143"/>
  <c r="I143"/>
  <c r="H143"/>
  <c r="G143"/>
  <c r="F143"/>
  <c r="R142"/>
  <c r="N142"/>
  <c r="J142"/>
  <c r="G142"/>
  <c r="F142"/>
  <c r="R141"/>
  <c r="N141"/>
  <c r="L141"/>
  <c r="J141"/>
  <c r="G141"/>
  <c r="F141"/>
  <c r="R140"/>
  <c r="N140"/>
  <c r="N138" s="1"/>
  <c r="N137" s="1"/>
  <c r="F140"/>
  <c r="U138"/>
  <c r="T138"/>
  <c r="S138"/>
  <c r="R138"/>
  <c r="Q138"/>
  <c r="P138"/>
  <c r="O138"/>
  <c r="M138"/>
  <c r="L138"/>
  <c r="K138"/>
  <c r="K137" s="1"/>
  <c r="I138"/>
  <c r="H138"/>
  <c r="G138"/>
  <c r="S137"/>
  <c r="O137"/>
  <c r="G137"/>
  <c r="F129"/>
  <c r="N128"/>
  <c r="N126" s="1"/>
  <c r="L126"/>
  <c r="L125" s="1"/>
  <c r="F128"/>
  <c r="U126"/>
  <c r="T126"/>
  <c r="S126"/>
  <c r="Q125"/>
  <c r="O125"/>
  <c r="M126"/>
  <c r="M125" s="1"/>
  <c r="K126"/>
  <c r="K125" s="1"/>
  <c r="I126"/>
  <c r="I125" s="1"/>
  <c r="H126"/>
  <c r="G126"/>
  <c r="U125"/>
  <c r="T125"/>
  <c r="S125"/>
  <c r="R125"/>
  <c r="P125"/>
  <c r="N125"/>
  <c r="J124"/>
  <c r="J122" s="1"/>
  <c r="F124"/>
  <c r="I122"/>
  <c r="H122"/>
  <c r="G122"/>
  <c r="F122"/>
  <c r="R121"/>
  <c r="N121"/>
  <c r="J121"/>
  <c r="G121"/>
  <c r="F121" s="1"/>
  <c r="R120"/>
  <c r="N120"/>
  <c r="J120"/>
  <c r="F120"/>
  <c r="R119"/>
  <c r="N119"/>
  <c r="J119"/>
  <c r="F119"/>
  <c r="V119" s="1"/>
  <c r="R118"/>
  <c r="R113" s="1"/>
  <c r="N118"/>
  <c r="J118"/>
  <c r="F118"/>
  <c r="V118" s="1"/>
  <c r="R117"/>
  <c r="N117"/>
  <c r="J117"/>
  <c r="F117"/>
  <c r="V117" s="1"/>
  <c r="R116"/>
  <c r="N116"/>
  <c r="F116"/>
  <c r="U113"/>
  <c r="T113"/>
  <c r="S113"/>
  <c r="Q113"/>
  <c r="R112"/>
  <c r="R110" s="1"/>
  <c r="N112"/>
  <c r="K112"/>
  <c r="J112" s="1"/>
  <c r="J110" s="1"/>
  <c r="U110"/>
  <c r="T110"/>
  <c r="S110"/>
  <c r="S102" s="1"/>
  <c r="Q110"/>
  <c r="P110"/>
  <c r="O110"/>
  <c r="N110"/>
  <c r="M110"/>
  <c r="L110"/>
  <c r="K110"/>
  <c r="I110"/>
  <c r="H110"/>
  <c r="G110"/>
  <c r="G102" s="1"/>
  <c r="F110"/>
  <c r="J109"/>
  <c r="G109"/>
  <c r="F109"/>
  <c r="F107" s="1"/>
  <c r="K107"/>
  <c r="J107"/>
  <c r="I107"/>
  <c r="H107"/>
  <c r="G107"/>
  <c r="K104"/>
  <c r="J104"/>
  <c r="G104"/>
  <c r="F104"/>
  <c r="U103"/>
  <c r="T103"/>
  <c r="S103"/>
  <c r="R103"/>
  <c r="Q103"/>
  <c r="P103"/>
  <c r="P102" s="1"/>
  <c r="O103"/>
  <c r="N103"/>
  <c r="M103"/>
  <c r="L103"/>
  <c r="L102" s="1"/>
  <c r="H102"/>
  <c r="F101"/>
  <c r="U100"/>
  <c r="T100"/>
  <c r="S100"/>
  <c r="R100"/>
  <c r="Q100"/>
  <c r="P100"/>
  <c r="O100"/>
  <c r="N100"/>
  <c r="M100"/>
  <c r="L100"/>
  <c r="I100"/>
  <c r="H100"/>
  <c r="G100"/>
  <c r="F100"/>
  <c r="R99"/>
  <c r="N99"/>
  <c r="R98"/>
  <c r="N98"/>
  <c r="F98"/>
  <c r="R97"/>
  <c r="N97"/>
  <c r="F97"/>
  <c r="R96"/>
  <c r="N96"/>
  <c r="J96"/>
  <c r="F96"/>
  <c r="J95"/>
  <c r="F95"/>
  <c r="R94"/>
  <c r="N94"/>
  <c r="G93"/>
  <c r="F93" s="1"/>
  <c r="G92"/>
  <c r="F92" s="1"/>
  <c r="S91"/>
  <c r="R91" s="1"/>
  <c r="R89" s="1"/>
  <c r="O91"/>
  <c r="N91" s="1"/>
  <c r="N89" s="1"/>
  <c r="K91"/>
  <c r="J91" s="1"/>
  <c r="G91"/>
  <c r="F91" s="1"/>
  <c r="U89"/>
  <c r="T89"/>
  <c r="Q89"/>
  <c r="P89"/>
  <c r="O89"/>
  <c r="M89"/>
  <c r="L89"/>
  <c r="L67" s="1"/>
  <c r="I89"/>
  <c r="H89"/>
  <c r="H67" s="1"/>
  <c r="J88"/>
  <c r="F88"/>
  <c r="J87"/>
  <c r="F87"/>
  <c r="F86"/>
  <c r="F85"/>
  <c r="F82" s="1"/>
  <c r="F84"/>
  <c r="U82"/>
  <c r="T82"/>
  <c r="S82"/>
  <c r="R82"/>
  <c r="Q82"/>
  <c r="P82"/>
  <c r="O82"/>
  <c r="N82"/>
  <c r="M82"/>
  <c r="L82"/>
  <c r="I82"/>
  <c r="H82"/>
  <c r="G82"/>
  <c r="K81"/>
  <c r="J81" s="1"/>
  <c r="F81"/>
  <c r="F80"/>
  <c r="J79"/>
  <c r="G79"/>
  <c r="F79" s="1"/>
  <c r="F76" s="1"/>
  <c r="J78"/>
  <c r="F78"/>
  <c r="U76"/>
  <c r="T76"/>
  <c r="S76"/>
  <c r="R76"/>
  <c r="Q76"/>
  <c r="P76"/>
  <c r="O76"/>
  <c r="N76"/>
  <c r="M76"/>
  <c r="L76"/>
  <c r="I76"/>
  <c r="H76"/>
  <c r="G76"/>
  <c r="J75"/>
  <c r="V75" s="1"/>
  <c r="F75"/>
  <c r="R73"/>
  <c r="N73"/>
  <c r="J73"/>
  <c r="J68" s="1"/>
  <c r="F73"/>
  <c r="F72"/>
  <c r="R71"/>
  <c r="N71"/>
  <c r="F71"/>
  <c r="R70"/>
  <c r="N70"/>
  <c r="F70"/>
  <c r="U68"/>
  <c r="Q68"/>
  <c r="P68"/>
  <c r="P67" s="1"/>
  <c r="O68"/>
  <c r="M68"/>
  <c r="I68"/>
  <c r="H68"/>
  <c r="G68"/>
  <c r="T67"/>
  <c r="Q67"/>
  <c r="N66"/>
  <c r="F66"/>
  <c r="J65"/>
  <c r="J62" s="1"/>
  <c r="R64"/>
  <c r="N64"/>
  <c r="F64"/>
  <c r="U62"/>
  <c r="T62"/>
  <c r="Q62"/>
  <c r="P62"/>
  <c r="M62"/>
  <c r="I62"/>
  <c r="H62"/>
  <c r="R61"/>
  <c r="N61"/>
  <c r="J61"/>
  <c r="J58" s="1"/>
  <c r="F61"/>
  <c r="F58" s="1"/>
  <c r="R60"/>
  <c r="R58" s="1"/>
  <c r="N60"/>
  <c r="N58" s="1"/>
  <c r="F60"/>
  <c r="U58"/>
  <c r="T58"/>
  <c r="S58"/>
  <c r="Q58"/>
  <c r="P58"/>
  <c r="O58"/>
  <c r="M58"/>
  <c r="L58"/>
  <c r="I58"/>
  <c r="H58"/>
  <c r="G58"/>
  <c r="R57"/>
  <c r="R54" s="1"/>
  <c r="N57"/>
  <c r="J57"/>
  <c r="F57"/>
  <c r="R56"/>
  <c r="P56"/>
  <c r="O56"/>
  <c r="N56"/>
  <c r="N54" s="1"/>
  <c r="H56"/>
  <c r="F56" s="1"/>
  <c r="F54" s="1"/>
  <c r="G56"/>
  <c r="U54"/>
  <c r="T54"/>
  <c r="S54"/>
  <c r="Q54"/>
  <c r="P54"/>
  <c r="O54"/>
  <c r="M54"/>
  <c r="I54"/>
  <c r="H54"/>
  <c r="G54"/>
  <c r="R53"/>
  <c r="N53"/>
  <c r="F53"/>
  <c r="R52"/>
  <c r="R50" s="1"/>
  <c r="N52"/>
  <c r="N50" s="1"/>
  <c r="J52"/>
  <c r="F52"/>
  <c r="U50"/>
  <c r="T50"/>
  <c r="S50"/>
  <c r="Q50"/>
  <c r="P50"/>
  <c r="O50"/>
  <c r="M50"/>
  <c r="L50"/>
  <c r="K50"/>
  <c r="I50"/>
  <c r="H50"/>
  <c r="G50"/>
  <c r="F50"/>
  <c r="R49"/>
  <c r="N49"/>
  <c r="F49"/>
  <c r="R48"/>
  <c r="N48"/>
  <c r="R47"/>
  <c r="N47"/>
  <c r="F47"/>
  <c r="R46"/>
  <c r="N46"/>
  <c r="F46"/>
  <c r="R45"/>
  <c r="R42" s="1"/>
  <c r="N45"/>
  <c r="F45"/>
  <c r="R44"/>
  <c r="N44"/>
  <c r="N42" s="1"/>
  <c r="F44"/>
  <c r="U42"/>
  <c r="T42"/>
  <c r="S42"/>
  <c r="Q42"/>
  <c r="P42"/>
  <c r="O42"/>
  <c r="M42"/>
  <c r="I42"/>
  <c r="H42"/>
  <c r="G42"/>
  <c r="R40"/>
  <c r="R38" s="1"/>
  <c r="N40"/>
  <c r="F40"/>
  <c r="U38"/>
  <c r="T38"/>
  <c r="S38"/>
  <c r="Q38"/>
  <c r="P38"/>
  <c r="O38"/>
  <c r="N38"/>
  <c r="M38"/>
  <c r="L38"/>
  <c r="I38"/>
  <c r="H38"/>
  <c r="G38"/>
  <c r="F38"/>
  <c r="R37"/>
  <c r="R34" s="1"/>
  <c r="N37"/>
  <c r="J37"/>
  <c r="F37"/>
  <c r="F34" s="1"/>
  <c r="R36"/>
  <c r="N36"/>
  <c r="N34" s="1"/>
  <c r="F36"/>
  <c r="U34"/>
  <c r="T34"/>
  <c r="S34"/>
  <c r="Q34"/>
  <c r="P34"/>
  <c r="O34"/>
  <c r="M34"/>
  <c r="L34"/>
  <c r="I34"/>
  <c r="H34"/>
  <c r="G34"/>
  <c r="R33"/>
  <c r="F32"/>
  <c r="V32" s="1"/>
  <c r="U30"/>
  <c r="T30"/>
  <c r="S30"/>
  <c r="R30"/>
  <c r="Q30"/>
  <c r="P30"/>
  <c r="O30"/>
  <c r="M30"/>
  <c r="L30"/>
  <c r="K30"/>
  <c r="J30"/>
  <c r="I30"/>
  <c r="I9" s="1"/>
  <c r="H30"/>
  <c r="R29"/>
  <c r="N29"/>
  <c r="J29"/>
  <c r="F29"/>
  <c r="R28"/>
  <c r="N28"/>
  <c r="J28"/>
  <c r="F28"/>
  <c r="V28" s="1"/>
  <c r="R27"/>
  <c r="N27"/>
  <c r="J27"/>
  <c r="V27" s="1"/>
  <c r="F27"/>
  <c r="R26"/>
  <c r="N26"/>
  <c r="F26"/>
  <c r="R25"/>
  <c r="N25"/>
  <c r="F25"/>
  <c r="R22"/>
  <c r="N22"/>
  <c r="F22"/>
  <c r="V22" s="1"/>
  <c r="F19"/>
  <c r="R18"/>
  <c r="N18"/>
  <c r="L18"/>
  <c r="J18"/>
  <c r="G18"/>
  <c r="F18"/>
  <c r="R17"/>
  <c r="J17"/>
  <c r="V17" s="1"/>
  <c r="F17"/>
  <c r="R16"/>
  <c r="N16"/>
  <c r="J16"/>
  <c r="F16"/>
  <c r="R14"/>
  <c r="N14"/>
  <c r="F14"/>
  <c r="R13"/>
  <c r="P13"/>
  <c r="O13"/>
  <c r="N13"/>
  <c r="R12"/>
  <c r="N12"/>
  <c r="P9"/>
  <c r="F157" l="1"/>
  <c r="F156" s="1"/>
  <c r="M67"/>
  <c r="V73"/>
  <c r="F68"/>
  <c r="V68" s="1"/>
  <c r="V24"/>
  <c r="R20"/>
  <c r="R9" s="1"/>
  <c r="N20"/>
  <c r="N9" s="1"/>
  <c r="J20"/>
  <c r="V29"/>
  <c r="F113"/>
  <c r="V113" s="1"/>
  <c r="J153"/>
  <c r="V155"/>
  <c r="J188"/>
  <c r="V188" s="1"/>
  <c r="V189"/>
  <c r="J138"/>
  <c r="J137" s="1"/>
  <c r="H137"/>
  <c r="U137"/>
  <c r="Q137"/>
  <c r="F126"/>
  <c r="F125" s="1"/>
  <c r="F30"/>
  <c r="V30" s="1"/>
  <c r="Q9"/>
  <c r="F20"/>
  <c r="J182"/>
  <c r="T102"/>
  <c r="I67"/>
  <c r="N67"/>
  <c r="J113"/>
  <c r="F138"/>
  <c r="F137" s="1"/>
  <c r="L137"/>
  <c r="U67"/>
  <c r="O67"/>
  <c r="R67"/>
  <c r="G125"/>
  <c r="H125"/>
  <c r="U9"/>
  <c r="O102"/>
  <c r="T9"/>
  <c r="S9"/>
  <c r="O9"/>
  <c r="J34"/>
  <c r="V34" s="1"/>
  <c r="J160"/>
  <c r="L156"/>
  <c r="J89"/>
  <c r="G30"/>
  <c r="K100"/>
  <c r="K76"/>
  <c r="J76"/>
  <c r="K68"/>
  <c r="M102"/>
  <c r="Q102"/>
  <c r="N102"/>
  <c r="U102"/>
  <c r="J102"/>
  <c r="I102"/>
  <c r="Q41"/>
  <c r="U41"/>
  <c r="H9"/>
  <c r="P41"/>
  <c r="P8" s="1"/>
  <c r="I41"/>
  <c r="I8" s="1"/>
  <c r="T41"/>
  <c r="H41"/>
  <c r="M41"/>
  <c r="S62"/>
  <c r="S41" s="1"/>
  <c r="O62"/>
  <c r="O41" s="1"/>
  <c r="G62"/>
  <c r="G41" s="1"/>
  <c r="N62"/>
  <c r="N41" s="1"/>
  <c r="R62"/>
  <c r="R41" s="1"/>
  <c r="F62"/>
  <c r="K42"/>
  <c r="F42"/>
  <c r="K38"/>
  <c r="K54"/>
  <c r="J50"/>
  <c r="L41"/>
  <c r="G182"/>
  <c r="F186"/>
  <c r="F182" s="1"/>
  <c r="L9"/>
  <c r="F13"/>
  <c r="J12"/>
  <c r="F12"/>
  <c r="F10" s="1"/>
  <c r="H195"/>
  <c r="F198"/>
  <c r="G195"/>
  <c r="G188" s="1"/>
  <c r="F197"/>
  <c r="H188"/>
  <c r="K168"/>
  <c r="L168"/>
  <c r="H168"/>
  <c r="F177"/>
  <c r="F173" s="1"/>
  <c r="R168"/>
  <c r="F89"/>
  <c r="R102"/>
  <c r="N169"/>
  <c r="J82"/>
  <c r="R137"/>
  <c r="F189"/>
  <c r="K34"/>
  <c r="K9" s="1"/>
  <c r="J46"/>
  <c r="J42" s="1"/>
  <c r="K82"/>
  <c r="G89"/>
  <c r="G67" s="1"/>
  <c r="K89"/>
  <c r="S89"/>
  <c r="S67" s="1"/>
  <c r="J128"/>
  <c r="K153"/>
  <c r="K152" s="1"/>
  <c r="G169"/>
  <c r="O169"/>
  <c r="O168" s="1"/>
  <c r="J175"/>
  <c r="J168" s="1"/>
  <c r="N176"/>
  <c r="N173" s="1"/>
  <c r="J56"/>
  <c r="J54" s="1"/>
  <c r="K122"/>
  <c r="K102" s="1"/>
  <c r="K164"/>
  <c r="K156" s="1"/>
  <c r="F193"/>
  <c r="F67" l="1"/>
  <c r="V20"/>
  <c r="J157"/>
  <c r="V160"/>
  <c r="J126"/>
  <c r="V128"/>
  <c r="F102"/>
  <c r="V102" s="1"/>
  <c r="J152"/>
  <c r="V152" s="1"/>
  <c r="V153"/>
  <c r="J10"/>
  <c r="V10" s="1"/>
  <c r="V12"/>
  <c r="F168"/>
  <c r="T8"/>
  <c r="H8"/>
  <c r="U8"/>
  <c r="R8"/>
  <c r="J67"/>
  <c r="V67" s="1"/>
  <c r="O8"/>
  <c r="G9"/>
  <c r="G8" s="1"/>
  <c r="K67"/>
  <c r="K8" s="1"/>
  <c r="M8"/>
  <c r="Q8"/>
  <c r="S8"/>
  <c r="F41"/>
  <c r="K41"/>
  <c r="L8"/>
  <c r="F9"/>
  <c r="F195"/>
  <c r="F188" s="1"/>
  <c r="G168"/>
  <c r="N8"/>
  <c r="J41"/>
  <c r="N168"/>
  <c r="J156" l="1"/>
  <c r="V156" s="1"/>
  <c r="V157"/>
  <c r="J125"/>
  <c r="V125" s="1"/>
  <c r="V126"/>
  <c r="J9"/>
  <c r="F8"/>
  <c r="J8" l="1"/>
  <c r="V8" s="1"/>
  <c r="V9"/>
</calcChain>
</file>

<file path=xl/sharedStrings.xml><?xml version="1.0" encoding="utf-8"?>
<sst xmlns="http://schemas.openxmlformats.org/spreadsheetml/2006/main" count="675" uniqueCount="348">
  <si>
    <t>(тыс.руб.)</t>
  </si>
  <si>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</si>
  <si>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</si>
  <si>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</si>
  <si>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</si>
  <si>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</si>
  <si>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2019 год</t>
  </si>
  <si>
    <t>2020  год</t>
  </si>
  <si>
    <t>2021 год</t>
  </si>
  <si>
    <t xml:space="preserve">Плановые ассигнования*, в том числе </t>
  </si>
  <si>
    <t>Кассовое исполнение, в том числе</t>
  </si>
  <si>
    <t xml:space="preserve">Плановые ассигнования*, 
в том числе   </t>
  </si>
  <si>
    <t xml:space="preserve">Плановые ассигнования*, 
в том числе  </t>
  </si>
  <si>
    <t>ИТОГО</t>
  </si>
  <si>
    <t>за счет средств областного бюджета</t>
  </si>
  <si>
    <t>за счет средств федерального бюджета</t>
  </si>
  <si>
    <t>за счет средств местного бюджета**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</si>
  <si>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</si>
  <si>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</si>
  <si>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</si>
  <si>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</si>
  <si>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</si>
  <si>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</si>
  <si>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</si>
  <si>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024</t>
  </si>
  <si>
    <t>Организация профессионального обучения и дополнительного профессионального образования лиц предпенсионного возраста</t>
  </si>
  <si>
    <t>Департамент труда и занятости населения Томской области</t>
  </si>
  <si>
    <t>051P352940</t>
  </si>
  <si>
    <t>Возмещение затрат работодателям на профессиональное обучение и дополнительное профессиональное образование работников из числа лиц предпенсионного возраста</t>
  </si>
  <si>
    <t>051P352941</t>
  </si>
  <si>
    <t>Проведение дополнительных скринингов лицам старше 65 лет, проживающим в сельской местности, на выявление отдельных социально значимых неинфекционных заболеваний, оказывающих вклад в структуру смертности населения, с возможностью доставки данных лиц в медицинские организации</t>
  </si>
  <si>
    <t>Департамент здравоохранения Томской области</t>
  </si>
  <si>
    <t>071P352950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</si>
  <si>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</si>
  <si>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071P354680</t>
  </si>
  <si>
    <t>022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</si>
  <si>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</si>
  <si>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Департамент архитектуры и строительства Томской области</t>
  </si>
  <si>
    <t>112P351210</t>
  </si>
  <si>
    <t>Приобретение автотранспорта</t>
  </si>
  <si>
    <t>Департамент социальной защиты населения Томской области</t>
  </si>
  <si>
    <t>112P352930</t>
  </si>
  <si>
    <t>Бюджетные ассигнования на объекты капитального строительства государственной собственности в сфере социального обслуживания населения</t>
  </si>
  <si>
    <t>112P30И000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</si>
  <si>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</si>
  <si>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</si>
  <si>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</si>
  <si>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</si>
  <si>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081P552280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</si>
  <si>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</si>
  <si>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082P552290</t>
  </si>
  <si>
    <t>Создание и модернизация объектов спортивной инфраструктуры муниципальной собственности для занятий физической культурой и спортом</t>
  </si>
  <si>
    <t>083P551390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</si>
  <si>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</si>
  <si>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081P500001</t>
  </si>
  <si>
    <t>Приобретение спортивного инвентаря и оборудования для спортивных школ</t>
  </si>
  <si>
    <t>082P500002</t>
  </si>
  <si>
    <t>Обеспечение условий для развития физической культуры и массового спорта</t>
  </si>
  <si>
    <t>081P500003</t>
  </si>
  <si>
    <t>1.3</t>
  </si>
  <si>
    <t>Региональный проект "Содействие занятости женщин - создание условий дошкольного образования для детей в возрасте до трех лет", всего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</si>
  <si>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</si>
  <si>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092P251590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</si>
  <si>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</si>
  <si>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092P252320</t>
  </si>
  <si>
    <t>1.4</t>
  </si>
  <si>
    <t>Региональный проект "Финансовая поддержка семей при рождении детей", всего</t>
  </si>
  <si>
    <t>023</t>
  </si>
  <si>
    <t>Осуществление ежемесячной выплаты в связи с рождением (усыновлением) первого ребенка</t>
  </si>
  <si>
    <t>111P155730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</si>
  <si>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</si>
  <si>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111P1Д0840</t>
  </si>
  <si>
    <t xml:space="preserve">1.5 </t>
  </si>
  <si>
    <t>Региональный проект "Укрепление общественного здоровья"</t>
  </si>
  <si>
    <t>Создание и демонстрация рекламно - информационных материалов в СМИ, сети "Интернет", в медицинских организациях и общественных местах, разработка печатной продукции по формированию здорового образа жизни</t>
  </si>
  <si>
    <t>071P4Д0003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</si>
  <si>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</si>
  <si>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</si>
  <si>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</si>
  <si>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</si>
  <si>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Оснащение медицинских организаций передвижными медицинскими комплексами для оказания медицинской помощи жителям населенных пунктов с численностью населения до 100 человек</t>
  </si>
  <si>
    <t>071N151910</t>
  </si>
  <si>
    <t>Создание и замена фельдшерских, фельдшерско-акушерских пунктов и врачебных амбулаторий для населенных пунктов с численностью населения от 100 до 2000 человек</t>
  </si>
  <si>
    <t>071N151960</t>
  </si>
  <si>
    <t>Обеспечение закупки авиационных работ органами государственной власти субъектов Российской Федерации в целях оказания медицинской помощи</t>
  </si>
  <si>
    <t>072N155540</t>
  </si>
  <si>
    <t>Организация проведения профилактических медицинских осмотров</t>
  </si>
  <si>
    <t>071N100001</t>
  </si>
  <si>
    <t>Оказание медицинской помощи с применением санитарной авиации</t>
  </si>
  <si>
    <t>072N1Д5540</t>
  </si>
  <si>
    <t>Функционирование регионального проектного офиса по созданию и внедрению "Новой модели медицинской организации, оказывающей первичную медико-санитарную помощь"</t>
  </si>
  <si>
    <t>076N100101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</si>
  <si>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</si>
  <si>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</si>
  <si>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</si>
  <si>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072N251920</t>
  </si>
  <si>
    <t>Профилактика развития сердечно-сосудистых заболеваний и сердечно-сосудистых осложнений у пациентов высокого риска</t>
  </si>
  <si>
    <t>071N2Д0002</t>
  </si>
  <si>
    <t>2.3</t>
  </si>
  <si>
    <t>Региональный проект "Развитие детского здравоохранения, включая создание современной инфраструктуры оказания медицинской помощи детям", всего</t>
  </si>
  <si>
    <t>Развитие материально-технической базы детских поликлиник и детских поликлинических отделений медицинских организаций, оказывающих первичную медико-санитарную помощь</t>
  </si>
  <si>
    <t>073N451700</t>
  </si>
  <si>
    <t>Развитие профилактического направления в педиатрии</t>
  </si>
  <si>
    <t>071N400004</t>
  </si>
  <si>
    <t>2.4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</si>
  <si>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(ЕГИСЗ)", всего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</si>
  <si>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</si>
  <si>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076N751140</t>
  </si>
  <si>
    <t>Обеспечение работоспособности государственных информационных систем в сфере здравоохранения, подключенных к ЕГИСЗ</t>
  </si>
  <si>
    <t>076N751141</t>
  </si>
  <si>
    <t>2.5</t>
  </si>
  <si>
    <t>Региональный проект "Борьба с онкологическими заболеваниями", всего</t>
  </si>
  <si>
    <t>Создание и оснащение референс-центров для проведения иммуногистохимических, патоморфологических исследований и лучевых методов исследований, переоснащение сети региональных медицинских организаций, оказывающих помощь больным онкологическими заболеваниями в субъектах Российской Федерации</t>
  </si>
  <si>
    <t>072N351900</t>
  </si>
  <si>
    <t>Софинансирование капитальных вложений в объекты государственной собственности субъектов Российской Федерации (Хирургический корпус на 120 коек с поликлиникой на 200 п/смену ОГАУЗ "Томский областной онкологический диспансер" )</t>
  </si>
  <si>
    <t>076N351110</t>
  </si>
  <si>
    <t>Бюджетные ассигнования на объекты капитального строительства государственной собственности в сфере здравоохранения</t>
  </si>
  <si>
    <t>076N30И000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</si>
  <si>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</si>
  <si>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</si>
  <si>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</si>
  <si>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</si>
  <si>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</si>
  <si>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Департамент общего образования Томской области</t>
  </si>
  <si>
    <t>091E151690</t>
  </si>
  <si>
    <t>241E152300</t>
  </si>
  <si>
    <t>Создание новых мест в общеобразовательных организациях, расположенных в сельской местности и поселках городского типа (операционные расходы)</t>
  </si>
  <si>
    <t>Создание новых мест в общеобразовательных организациях (Приобретение здания с оборудованием для размещения общеобразовательной организации на 1100 мест по ул. П.Федоровского в г. Томске)</t>
  </si>
  <si>
    <t>241E155200</t>
  </si>
  <si>
    <t>Оснащение зданий средствами обучения и воспитания для размещения общеобразовательных организаций</t>
  </si>
  <si>
    <t>241E155201</t>
  </si>
  <si>
    <t>3.2</t>
  </si>
  <si>
    <t>Региональный проект "Цифровая образовательная среда", всего</t>
  </si>
  <si>
    <t>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</si>
  <si>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091E452100</t>
  </si>
  <si>
    <t>Департамент профессионального образования Томской области</t>
  </si>
  <si>
    <t>093E452100</t>
  </si>
  <si>
    <t>Внедрение и функционирование целевой модели цифровой образовательной среды в общеобразовательных организациях</t>
  </si>
  <si>
    <t>091E452101</t>
  </si>
  <si>
    <t>Функционирование целевой модели цифровой образовательной среды в профессиональных образовательных организациях</t>
  </si>
  <si>
    <t>093E452101</t>
  </si>
  <si>
    <t>3.3</t>
  </si>
  <si>
    <t>Региональный проект "Успех каждого ребенка", всего</t>
  </si>
  <si>
    <t>Создание в общеобразовательных организациях, расположенных в сельской местности, условий для занятий физической культурой и спортом</t>
  </si>
  <si>
    <t>092E250970</t>
  </si>
  <si>
    <t>Создание центров выявления и поддержки одаренных детей</t>
  </si>
  <si>
    <t>091E251890</t>
  </si>
  <si>
    <t>Формирование современных управленческих и организационно-экономических механизмов в системе дополнительного образования детей в субъектах Российской Федерации</t>
  </si>
  <si>
    <t>091E255370</t>
  </si>
  <si>
    <t>Внедрение целевой модели развития региональных систем дополнительного образования детей</t>
  </si>
  <si>
    <t>091E255371</t>
  </si>
  <si>
    <t xml:space="preserve">Реализация пилотных проектов по обновлению содержания и технологий дополнительного образования по приоритетным направлениям </t>
  </si>
  <si>
    <t>091E262352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</si>
  <si>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</si>
  <si>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</si>
  <si>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Реализация региональных мероприятий, направленных на модернизацию среднего профессионального образования</t>
  </si>
  <si>
    <t>093E600020</t>
  </si>
  <si>
    <t>Разработка и распространение в системе среднего профессионального образования новых образовательных технологий и формы опережающей профессиональной подготовки</t>
  </si>
  <si>
    <t>093E651770</t>
  </si>
  <si>
    <t>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</t>
  </si>
  <si>
    <t>093E600080</t>
  </si>
  <si>
    <t>Функционирование центра опережающей профессиональной подготовки</t>
  </si>
  <si>
    <t>093E651771</t>
  </si>
  <si>
    <t>093E661624</t>
  </si>
  <si>
    <t>Обеспечение проведения аттестации обучающихся по программам среднего профессионального образования с использованием механизма демонстрационного экзамена</t>
  </si>
  <si>
    <t>093E661634</t>
  </si>
  <si>
    <t>Внедрение программ профессионального обучения по наиболее востребованным и перспективным профессиям на уровне, соответствующем стандартам Ворлдскиллс, с учетом продолжительности программ не более 6 месяцев</t>
  </si>
  <si>
    <t>093E661635</t>
  </si>
  <si>
    <t>Повышение квалификации преподавателей (мастеров производственного обучения) по программам, основанным на опыте Союза Ворлдскиллс Россия</t>
  </si>
  <si>
    <t>093E661636</t>
  </si>
  <si>
    <t>Вовлечение в различные формы наставничества обучающихся организаций, осуществляющих образовательную деятельность по образовательным программам среднего профессионального образования</t>
  </si>
  <si>
    <t>093E661637</t>
  </si>
  <si>
    <t>3.5</t>
  </si>
  <si>
    <t>Региональный проект "Учитель будущего", всего</t>
  </si>
  <si>
    <t>Обеспечение непрерывного и планомерного повышения квалификации педагогических работников</t>
  </si>
  <si>
    <t>091E516200</t>
  </si>
  <si>
    <t>4</t>
  </si>
  <si>
    <t>Национальный проект "Цифровая экономика"</t>
  </si>
  <si>
    <t>4.1</t>
  </si>
  <si>
    <t>Региональный проект "Кадры для цифровой экономики", всего</t>
  </si>
  <si>
    <t>Подготовка кадров для цифровой экономики</t>
  </si>
  <si>
    <t>091D309100</t>
  </si>
  <si>
    <t>4.2</t>
  </si>
  <si>
    <t>Региональный проект "Цифровые технологии"</t>
  </si>
  <si>
    <t>Финансовое обеспечение затрат, возникающих при реализации проекта "Цифровые технологии"</t>
  </si>
  <si>
    <t>Департамент по развитию инновационной и предпринимательской деятельности Томской области</t>
  </si>
  <si>
    <t>024D500400</t>
  </si>
  <si>
    <t>4.3</t>
  </si>
  <si>
    <t>Региональный проект "Информационная безопасность"</t>
  </si>
  <si>
    <t>Обеспечение использования отечественных разработок в технологии при передаче, обработке и хранении данных</t>
  </si>
  <si>
    <t>Администрация Томской области</t>
  </si>
  <si>
    <t>201D461632</t>
  </si>
  <si>
    <t>4.4</t>
  </si>
  <si>
    <t>Региональный проект "Цифровое государственное управление"</t>
  </si>
  <si>
    <t>Разработка методологии статистических наблюдений и организации измерения параметров развития цифровой экономики</t>
  </si>
  <si>
    <t>201D622100</t>
  </si>
  <si>
    <t>Внедрение цифровых технологий и платформенных решений в сферах государственного управления и оказания государственных и муниципальных услуг</t>
  </si>
  <si>
    <t>201D620400</t>
  </si>
  <si>
    <t>Обеспечение функционирования и развития инфраструктуры электронного правительства, а также информационных систем, направленных на предоставление государственных функций в электронном виде</t>
  </si>
  <si>
    <t>201D623600</t>
  </si>
  <si>
    <t>Обеспечение возможности доступа пользователей в модели "одного окна" посредством единого портала государственных и муниципальных услуг (функций) к информации, созданной органами государственной власти, органами местного самоуправления и органами государственных внебюджетных фондов, а также к иной общедоступной информации</t>
  </si>
  <si>
    <t>201D623500</t>
  </si>
  <si>
    <t>Обеспечение информирования и популяризации цифровых государственных услуг, функций и сервисов</t>
  </si>
  <si>
    <t>201D622300</t>
  </si>
  <si>
    <t xml:space="preserve">Внедрение в деятельность органов государственной власти и органов местного самоуправления, а также подведомственных им организаций межведомственного юридически значимого электронного документооборота с применением электронной подписи, базирующегося на единых  инфраструктурах, технологических и методологических решениях </t>
  </si>
  <si>
    <t>201D622700</t>
  </si>
  <si>
    <t>4.5</t>
  </si>
  <si>
    <t>Региональный проект "Информационная инфраструктура"</t>
  </si>
  <si>
    <t>Развертывание сетей сбора телеметрической информации на приоритетных объектах транспортной инфраструктуры</t>
  </si>
  <si>
    <t>182D206800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</si>
  <si>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</si>
  <si>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</si>
  <si>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</si>
  <si>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</si>
  <si>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</si>
  <si>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>251F255550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</si>
  <si>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</si>
  <si>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251F254240</t>
  </si>
  <si>
    <t xml:space="preserve">5.2  </t>
  </si>
  <si>
    <t>Региональный проект "Обеспечение устойчивого  сокращения непригодного для проживания жилищного фонда"</t>
  </si>
  <si>
    <t>Приобретение жилых помещений за счёт средств государственной корпорации - Фонда содействия реформированию жилищно-коммунального хозяйства</t>
  </si>
  <si>
    <t>132F319502</t>
  </si>
  <si>
    <t>Приобретение жилых помещений за счет средств областного бюджета</t>
  </si>
  <si>
    <t>132F319602</t>
  </si>
  <si>
    <t>Выкуп жилых помещений у собственников за счет средств государственной корпорации - Фонда содействия реформированию жилищно-коммунального хозяйства</t>
  </si>
  <si>
    <t>132F329502</t>
  </si>
  <si>
    <t>Выкуп жилых помещений у собственников за счет средств областного бюджета</t>
  </si>
  <si>
    <t>132F329602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</si>
  <si>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</si>
  <si>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</si>
  <si>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</si>
  <si>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</si>
  <si>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</si>
  <si>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</si>
  <si>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153GA54290</t>
  </si>
  <si>
    <t>Оснащение учреждений, выполняющих мероприятия по воспроизводству лесов, специализированной лесохозяйственной техникой и оборудованием для проведения комплекса мероприятий по лесовосстановлению и лесоразведению</t>
  </si>
  <si>
    <t>153GA54300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</si>
  <si>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</si>
  <si>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153GA54320</t>
  </si>
  <si>
    <t>6.2</t>
  </si>
  <si>
    <t>Региональный проект "Чистая вода", всего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</si>
  <si>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</si>
  <si>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</si>
  <si>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191G552430</t>
  </si>
  <si>
    <t>6.3</t>
  </si>
  <si>
    <t xml:space="preserve"> Региональный проект «Комплексная система обращения с твердыми коммунальными отходами», всего</t>
  </si>
  <si>
    <t>Введение в промышленную эксплуатацию мощностей по обработке твердых коммунальных отходов и мощностей по утилизации отходов и фракций после обработки твердых коммунальных отходов</t>
  </si>
  <si>
    <t>Департамент природных ресурсов и охраны окружающей среды Томской области</t>
  </si>
  <si>
    <t>151G252970</t>
  </si>
  <si>
    <t>6.4</t>
  </si>
  <si>
    <t>Региональный проект «Сохранение уникальных водных объектов»</t>
  </si>
  <si>
    <t>Восстановление и экологическая реабилитация водных объектов</t>
  </si>
  <si>
    <t>152G850570</t>
  </si>
  <si>
    <t>7</t>
  </si>
  <si>
    <t>Национальный проект "Безопасные и качественные автомобильные дороги"</t>
  </si>
  <si>
    <t>7.1</t>
  </si>
  <si>
    <t>Региональный проект "Дорожная сеть", всего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</si>
  <si>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</si>
  <si>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Департамент транспорта, дорожной деятельности и связи Томской области</t>
  </si>
  <si>
    <t>182R153930</t>
  </si>
  <si>
    <t>8</t>
  </si>
  <si>
    <t>Национальный проект "Культура"</t>
  </si>
  <si>
    <t>8.1</t>
  </si>
  <si>
    <t>Региональный проект "Культурная среда", всего</t>
  </si>
  <si>
    <t>Государственная поддержка отрасли культуры  (Капитальный ремонт Дома культуры в п.Самуськи)</t>
  </si>
  <si>
    <t>Департамент по культуре Томской области</t>
  </si>
  <si>
    <t>101A155190</t>
  </si>
  <si>
    <t>101A154540</t>
  </si>
  <si>
    <t>8.2</t>
  </si>
  <si>
    <t>Региональный проект "Цифровая культура"</t>
  </si>
  <si>
    <t>Создание виртуальных концертных залов</t>
  </si>
  <si>
    <t>101A354530</t>
  </si>
  <si>
    <t>8.3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</si>
  <si>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</si>
  <si>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</si>
  <si>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101A204300</t>
  </si>
  <si>
    <t>Реализация программ, направленных на укрепление единства нации, духовно-нравственное и патриотическое воспитание</t>
  </si>
  <si>
    <t>101A2Д0851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</si>
  <si>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</si>
  <si>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</si>
  <si>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</si>
  <si>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Региональный проект "Расширение доступа субъектов малого и среднего предпринимательства к финансовым ресурсам, в том числе к льготному финансированию", всего</t>
  </si>
  <si>
    <t>Государственная поддержка малого и среднего предпринимательства в субъектах Российской Федерации</t>
  </si>
  <si>
    <t>031I455270</t>
  </si>
  <si>
    <t>Развитие и обеспечение деятельности Гарантийного фонда Томской области</t>
  </si>
  <si>
    <t>031I455271</t>
  </si>
  <si>
    <t>9.2</t>
  </si>
  <si>
    <t>Региональный проект "Акселерация субъектов малого и среднего предпринимательства", всего</t>
  </si>
  <si>
    <t>031I555270</t>
  </si>
  <si>
    <t>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</si>
  <si>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031I555272</t>
  </si>
  <si>
    <t>Организация оказания комплекса услуг, сервисов и мер поддержки субъектам малого и среднего предпринимательства в центре "Мой бизнес" - Центре кластерного развития Томской области</t>
  </si>
  <si>
    <t>031I555273</t>
  </si>
  <si>
    <t>Развитие региональной гарантийной организации в целях ускоренного развития субъектов малого и среднего предпринимательства в моногородах</t>
  </si>
  <si>
    <t>031I555274</t>
  </si>
  <si>
    <t>9.3</t>
  </si>
  <si>
    <t>Региональный проект "Популяризация предпринимательства", всего</t>
  </si>
  <si>
    <t>031I855270</t>
  </si>
  <si>
    <t>9.4</t>
  </si>
  <si>
    <t>Региональный проект "Создание системы поддержки фермеров и развитие сельской кооперации"</t>
  </si>
  <si>
    <t>Создание системы поддержки фермеров и развитие сельской кооперации</t>
  </si>
  <si>
    <t>Департамент по социально-экономическому развитию села Томской области</t>
  </si>
  <si>
    <t>061I754800</t>
  </si>
  <si>
    <t>Гранты "Агростартап" на реализацию проектов создания и развития крестьянских (фермерских) хозяйств</t>
  </si>
  <si>
    <t>061I754801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</si>
  <si>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</si>
  <si>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061I754802</t>
  </si>
  <si>
    <t>062I754802</t>
  </si>
  <si>
    <t>10</t>
  </si>
  <si>
    <t>Национальный проект "Производительность труда и поддержка занятости"</t>
  </si>
  <si>
    <t>10.1</t>
  </si>
  <si>
    <t>Региональный проект "Адресная поддержка повышения производительности труда на предприятиях", всего</t>
  </si>
  <si>
    <t>Государственная поддержка субъектов Российской Федерации - участников национального проекта "Повышение производительности труда и поддержка занятости"</t>
  </si>
  <si>
    <t>035L252960</t>
  </si>
  <si>
    <t>Реализация мероприятий по созданию, техническому оснащению и организационно-методическому сопровождению учебной производственной площадки "Фабрика процессов"</t>
  </si>
  <si>
    <t>035L200350</t>
  </si>
  <si>
    <t>035L252961</t>
  </si>
  <si>
    <t>10.2</t>
  </si>
  <si>
    <t>Региональный проект "Поддержка занятости и повышение эффективности рынка труда для обеспечения роста производительности труда"</t>
  </si>
  <si>
    <t>Переобучение, повышение квалификации работников предприятий в целях поддержки занятости и повышения эффективности рынка труда</t>
  </si>
  <si>
    <t>051L355690</t>
  </si>
  <si>
    <t>Возмещение затрат организациям – участникам регионального проекта "Поддержка занятости и повышение эффективности рынка труда для обеспечения роста производительности труда" на переобучение, повышение квалификации работников</t>
  </si>
  <si>
    <t>051L355691</t>
  </si>
  <si>
    <t>* по данным сводной бюджетной росписи областного бюджета на 2019, 2020, 2021 годы по состоянию на отчетную дату; лимиты бюджетных обязательств соответствуют плановым назначениям</t>
  </si>
  <si>
    <t>** по данным финансовых органов муниципальных образований (средства на софинансирование региональных проектов за счет местных бюджетов)</t>
  </si>
  <si>
    <t>083P540370</t>
  </si>
  <si>
    <t>Капитальный ремонт муниципальных спортивных сооружений</t>
  </si>
  <si>
    <t>083P54И380</t>
  </si>
  <si>
    <t>Строительство универсальных спортивных площадок в муниципальных образованиях Томской области</t>
  </si>
  <si>
    <t>091D362357</t>
  </si>
  <si>
    <t>Проведение тематических смен в сезонных лагерях для школьников по передовым направлениям дискретной математики, информатики, цифровых технологий</t>
  </si>
  <si>
    <t>091D364157</t>
  </si>
  <si>
    <t>Государственная поддержка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</si>
  <si>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Организация деятельности мобильных бригад по доставке лиц старше 65 лет, проживающих в сельской местности, в медицинские организации</t>
  </si>
  <si>
    <t>112P352931</t>
  </si>
  <si>
    <t>026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</si>
  <si>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</si>
  <si>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132F367483</t>
  </si>
  <si>
    <t>Переселение граждан из аварийного жилищного фонда за счет средств областного бюджета</t>
  </si>
  <si>
    <t>132F367484</t>
  </si>
  <si>
    <t>201D600005</t>
  </si>
  <si>
    <t>Обеспечение регистрации пользователей в единой биометрической системе в МФЦ</t>
  </si>
  <si>
    <t>Создание новых мест в общеобразовательных организациях</t>
  </si>
  <si>
    <t>241E1Д5200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</si>
  <si>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</si>
  <si>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% исполнения</t>
  </si>
  <si>
    <t>Информация о плановых ассигнованиях и кассовом исполнении расходов консолидированного бюджета Томской области
на реализацию региональных проектов Томской области по состоянию на 01.10.2019</t>
  </si>
  <si>
    <t xml:space="preserve">Создание новых мест в общеобразовательных организациях, расположенных в сельской местности и поселках городского типа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</si>
</sst>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11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right"/>
    </xf>
    <xf numFmtId="0" fontId="3" fillId="2" borderId="5" xfId="0" applyFont="1" applyFill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/>
    </xf>
    <xf numFmtId="0" fontId="3" fillId="2" borderId="7" xfId="0" applyFont="1" applyFill="1" applyBorder="1" applyAlignment="1">
      <alignment horizontal="left" vertical="top" wrapText="1"/>
    </xf>
    <xf numFmtId="4" fontId="6" fillId="2" borderId="5" xfId="0" applyNumberFormat="1" applyFont="1" applyFill="1" applyBorder="1" applyAlignment="1">
      <alignment horizontal="center" vertical="top" wrapText="1"/>
    </xf>
    <xf numFmtId="49" fontId="3" fillId="3" borderId="5" xfId="0" applyNumberFormat="1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center" vertical="top"/>
    </xf>
    <xf numFmtId="4" fontId="3" fillId="3" borderId="5" xfId="0" applyNumberFormat="1" applyFont="1" applyFill="1" applyBorder="1" applyAlignment="1">
      <alignment horizontal="center" vertical="top"/>
    </xf>
    <xf numFmtId="49" fontId="3" fillId="2" borderId="5" xfId="0" applyNumberFormat="1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0" fontId="5" fillId="0" borderId="5" xfId="0" applyFont="1" applyBorder="1" applyAlignment="1">
      <alignment horizontal="center" vertical="top"/>
    </xf>
    <xf numFmtId="4" fontId="5" fillId="0" borderId="5" xfId="0" applyNumberFormat="1" applyFont="1" applyBorder="1" applyAlignment="1">
      <alignment horizontal="center" vertical="top"/>
    </xf>
    <xf numFmtId="4" fontId="5" fillId="2" borderId="5" xfId="0" applyNumberFormat="1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49" fontId="5" fillId="2" borderId="5" xfId="0" applyNumberFormat="1" applyFont="1" applyFill="1" applyBorder="1" applyAlignment="1">
      <alignment horizontal="center" vertical="top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 wrapText="1"/>
    </xf>
    <xf numFmtId="11" fontId="5" fillId="0" borderId="5" xfId="0" applyNumberFormat="1" applyFont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/>
    </xf>
    <xf numFmtId="0" fontId="3" fillId="2" borderId="5" xfId="0" applyFont="1" applyFill="1" applyBorder="1" applyAlignment="1">
      <alignment horizontal="center" vertical="top"/>
    </xf>
    <xf numFmtId="4" fontId="3" fillId="2" borderId="5" xfId="0" applyNumberFormat="1" applyFont="1" applyFill="1" applyBorder="1" applyAlignment="1">
      <alignment horizontal="center" vertical="top"/>
    </xf>
    <xf numFmtId="0" fontId="5" fillId="0" borderId="5" xfId="0" applyFont="1" applyBorder="1" applyAlignment="1">
      <alignment horizontal="left" vertical="top" wrapText="1"/>
    </xf>
    <xf numFmtId="0" fontId="8" fillId="0" borderId="0" xfId="0" applyFont="1"/>
    <xf numFmtId="0" fontId="3" fillId="2" borderId="5" xfId="0" applyFont="1" applyFill="1" applyBorder="1" applyAlignment="1">
      <alignment horizontal="center" vertical="top" wrapText="1"/>
    </xf>
    <xf numFmtId="10" fontId="6" fillId="2" borderId="5" xfId="0" applyNumberFormat="1" applyFont="1" applyFill="1" applyBorder="1" applyAlignment="1">
      <alignment horizontal="center" vertical="top" wrapText="1"/>
    </xf>
    <xf numFmtId="10" fontId="3" fillId="3" borderId="5" xfId="0" applyNumberFormat="1" applyFont="1" applyFill="1" applyBorder="1" applyAlignment="1">
      <alignment horizontal="center" vertical="top"/>
    </xf>
    <xf numFmtId="10" fontId="3" fillId="0" borderId="5" xfId="0" applyNumberFormat="1" applyFont="1" applyBorder="1" applyAlignment="1">
      <alignment horizontal="center" vertical="top"/>
    </xf>
    <xf numFmtId="10" fontId="5" fillId="0" borderId="5" xfId="0" applyNumberFormat="1" applyFont="1" applyBorder="1" applyAlignment="1">
      <alignment horizontal="center" vertical="top"/>
    </xf>
    <xf numFmtId="10" fontId="5" fillId="2" borderId="5" xfId="0" applyNumberFormat="1" applyFont="1" applyFill="1" applyBorder="1" applyAlignment="1">
      <alignment horizontal="center" vertical="top"/>
    </xf>
    <xf numFmtId="10" fontId="3" fillId="2" borderId="5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4" fillId="0" borderId="6" xfId="0" applyFont="1" applyBorder="1"/>
    <xf numFmtId="0" fontId="4" fillId="0" borderId="7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00"/>
  <sheetViews>
    <sheetView tabSelected="1" topLeftCell="A67" zoomScaleNormal="100" workbookViewId="0">
      <selection activeCell="C71" sqref="C71"/>
    </sheetView>
  </sheetViews>
  <sheetFormatPr defaultRowHeight="15"/>
  <cols>
    <col min="1" max="1" width="6.42578125" customWidth="1"/>
    <col min="2" max="2" width="52.5703125" customWidth="1"/>
    <col min="3" max="3" width="12.28515625" customWidth="1"/>
    <col min="4" max="4" width="23.42578125" customWidth="1"/>
    <col min="5" max="5" width="17.7109375" customWidth="1"/>
    <col min="6" max="6" width="19.42578125" customWidth="1"/>
    <col min="7" max="7" width="20.5703125" customWidth="1"/>
    <col min="8" max="8" width="23.42578125" customWidth="1"/>
    <col min="9" max="9" width="17.28515625" customWidth="1"/>
    <col min="10" max="10" width="22.42578125" customWidth="1"/>
    <col min="11" max="11" width="17" customWidth="1"/>
    <col min="12" max="12" width="18" customWidth="1"/>
    <col min="13" max="13" width="14.5703125" customWidth="1"/>
    <col min="14" max="14" width="17.85546875" customWidth="1"/>
    <col min="15" max="15" width="20.7109375" customWidth="1"/>
    <col min="16" max="16" width="21.7109375" customWidth="1"/>
    <col min="17" max="17" width="15" customWidth="1"/>
    <col min="18" max="18" width="18.85546875" customWidth="1"/>
    <col min="19" max="19" width="17.85546875" customWidth="1"/>
    <col min="20" max="20" width="21.85546875" customWidth="1"/>
    <col min="21" max="21" width="14.85546875" customWidth="1"/>
    <col min="22" max="22" width="19" customWidth="1"/>
  </cols>
  <sheetData>
    <row r="1" spans="1:22" ht="18.75">
      <c r="B1" s="51" t="s">
        <v>346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1"/>
    </row>
    <row r="2" spans="1:22" ht="18.75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1"/>
    </row>
    <row r="3" spans="1:22">
      <c r="E3" s="2"/>
      <c r="F3" s="3"/>
      <c r="T3" s="4" t="s">
        <v>0</v>
      </c>
      <c r="U3" s="4"/>
    </row>
    <row r="4" spans="1:22" ht="16.5">
      <c r="A4" s="46" t="s">
        <v>1</v>
      </c>
      <c r="B4" s="46" t="s">
        <v>2</v>
      </c>
      <c r="C4" s="46" t="s">
        <v>3</v>
      </c>
      <c r="D4" s="46" t="s">
        <v>4</v>
      </c>
      <c r="E4" s="46" t="s">
        <v>5</v>
      </c>
      <c r="F4" s="53" t="s">
        <v>6</v>
      </c>
      <c r="G4" s="54"/>
      <c r="H4" s="54"/>
      <c r="I4" s="54"/>
      <c r="J4" s="54"/>
      <c r="K4" s="54"/>
      <c r="L4" s="54"/>
      <c r="M4" s="55"/>
      <c r="N4" s="53" t="s">
        <v>7</v>
      </c>
      <c r="O4" s="54"/>
      <c r="P4" s="54"/>
      <c r="Q4" s="55"/>
      <c r="R4" s="56" t="s">
        <v>8</v>
      </c>
      <c r="S4" s="56"/>
      <c r="T4" s="56"/>
      <c r="U4" s="56"/>
      <c r="V4" s="46" t="s">
        <v>345</v>
      </c>
    </row>
    <row r="5" spans="1:22" ht="16.5">
      <c r="A5" s="47"/>
      <c r="B5" s="57"/>
      <c r="C5" s="57"/>
      <c r="D5" s="57"/>
      <c r="E5" s="57"/>
      <c r="F5" s="53" t="s">
        <v>9</v>
      </c>
      <c r="G5" s="54"/>
      <c r="H5" s="54"/>
      <c r="I5" s="55"/>
      <c r="J5" s="53" t="s">
        <v>10</v>
      </c>
      <c r="K5" s="54"/>
      <c r="L5" s="54"/>
      <c r="M5" s="55"/>
      <c r="N5" s="53" t="s">
        <v>11</v>
      </c>
      <c r="O5" s="54"/>
      <c r="P5" s="54"/>
      <c r="Q5" s="55"/>
      <c r="R5" s="56" t="s">
        <v>12</v>
      </c>
      <c r="S5" s="56"/>
      <c r="T5" s="56"/>
      <c r="U5" s="56"/>
      <c r="V5" s="47"/>
    </row>
    <row r="6" spans="1:22" ht="66">
      <c r="A6" s="48"/>
      <c r="B6" s="58"/>
      <c r="C6" s="58"/>
      <c r="D6" s="58"/>
      <c r="E6" s="58"/>
      <c r="F6" s="5" t="s">
        <v>13</v>
      </c>
      <c r="G6" s="5" t="s">
        <v>14</v>
      </c>
      <c r="H6" s="5" t="s">
        <v>15</v>
      </c>
      <c r="I6" s="5" t="s">
        <v>16</v>
      </c>
      <c r="J6" s="5" t="s">
        <v>13</v>
      </c>
      <c r="K6" s="5" t="s">
        <v>14</v>
      </c>
      <c r="L6" s="5" t="s">
        <v>15</v>
      </c>
      <c r="M6" s="5" t="s">
        <v>16</v>
      </c>
      <c r="N6" s="5" t="s">
        <v>13</v>
      </c>
      <c r="O6" s="5" t="s">
        <v>14</v>
      </c>
      <c r="P6" s="5" t="s">
        <v>15</v>
      </c>
      <c r="Q6" s="5" t="s">
        <v>16</v>
      </c>
      <c r="R6" s="5" t="s">
        <v>13</v>
      </c>
      <c r="S6" s="5" t="s">
        <v>14</v>
      </c>
      <c r="T6" s="5" t="s">
        <v>15</v>
      </c>
      <c r="U6" s="5" t="s">
        <v>16</v>
      </c>
      <c r="V6" s="48"/>
    </row>
    <row r="7" spans="1:22" ht="16.5">
      <c r="A7" s="6" t="s">
        <v>17</v>
      </c>
      <c r="B7" s="7">
        <v>2</v>
      </c>
      <c r="C7" s="7">
        <v>3</v>
      </c>
      <c r="D7" s="7">
        <v>4</v>
      </c>
      <c r="E7" s="7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  <c r="T7" s="5">
        <v>20</v>
      </c>
      <c r="U7" s="5">
        <v>21</v>
      </c>
      <c r="V7" s="39">
        <v>22</v>
      </c>
    </row>
    <row r="8" spans="1:22" ht="17.25">
      <c r="A8" s="8"/>
      <c r="B8" s="9" t="s">
        <v>18</v>
      </c>
      <c r="C8" s="7"/>
      <c r="D8" s="7"/>
      <c r="E8" s="7"/>
      <c r="F8" s="10">
        <f t="shared" ref="F8:U8" si="0">F9+F41+F67+F102+F125+F137+F152+F156+F168+F188</f>
        <v>10099625.400210001</v>
      </c>
      <c r="G8" s="10">
        <f t="shared" si="0"/>
        <v>3425427.0002100002</v>
      </c>
      <c r="H8" s="10">
        <f t="shared" si="0"/>
        <v>6197783.3200000003</v>
      </c>
      <c r="I8" s="10">
        <f t="shared" si="0"/>
        <v>476415.07999999996</v>
      </c>
      <c r="J8" s="10">
        <f t="shared" si="0"/>
        <v>5386993.3800000008</v>
      </c>
      <c r="K8" s="10">
        <f t="shared" si="0"/>
        <v>2145551.29</v>
      </c>
      <c r="L8" s="10">
        <f t="shared" si="0"/>
        <v>3031797.49</v>
      </c>
      <c r="M8" s="10">
        <f t="shared" si="0"/>
        <v>209657.90000000002</v>
      </c>
      <c r="N8" s="10">
        <f t="shared" si="0"/>
        <v>7753889.7699999996</v>
      </c>
      <c r="O8" s="10">
        <f t="shared" si="0"/>
        <v>3157451.11</v>
      </c>
      <c r="P8" s="10">
        <f t="shared" si="0"/>
        <v>4172119.3000000003</v>
      </c>
      <c r="Q8" s="10">
        <f t="shared" si="0"/>
        <v>424319.36</v>
      </c>
      <c r="R8" s="10">
        <f t="shared" si="0"/>
        <v>8471692.089999998</v>
      </c>
      <c r="S8" s="10">
        <f t="shared" si="0"/>
        <v>3097368.71</v>
      </c>
      <c r="T8" s="10">
        <f t="shared" si="0"/>
        <v>4930737.6000000006</v>
      </c>
      <c r="U8" s="10">
        <f t="shared" si="0"/>
        <v>443585.77999999997</v>
      </c>
      <c r="V8" s="40">
        <f>J8/F8</f>
        <v>0.53338546396859332</v>
      </c>
    </row>
    <row r="9" spans="1:22" ht="16.5">
      <c r="A9" s="11">
        <v>1</v>
      </c>
      <c r="B9" s="12" t="s">
        <v>19</v>
      </c>
      <c r="C9" s="13" t="s">
        <v>20</v>
      </c>
      <c r="D9" s="13" t="s">
        <v>20</v>
      </c>
      <c r="E9" s="13" t="s">
        <v>20</v>
      </c>
      <c r="F9" s="14">
        <f>F10+F20+F30+F34+F38</f>
        <v>2988066.6</v>
      </c>
      <c r="G9" s="14">
        <f t="shared" ref="G9:U9" si="1">G10+G20+G30+G34+G38</f>
        <v>1573144.8900000001</v>
      </c>
      <c r="H9" s="14">
        <f t="shared" si="1"/>
        <v>1369595.5</v>
      </c>
      <c r="I9" s="14">
        <f>I10+I20+I30+I34+I38</f>
        <v>45326.21</v>
      </c>
      <c r="J9" s="14">
        <f t="shared" si="1"/>
        <v>1105674.8499999999</v>
      </c>
      <c r="K9" s="14">
        <f t="shared" si="1"/>
        <v>688163.14999999991</v>
      </c>
      <c r="L9" s="14">
        <f t="shared" si="1"/>
        <v>396113.95</v>
      </c>
      <c r="M9" s="14">
        <f t="shared" si="1"/>
        <v>21397.75</v>
      </c>
      <c r="N9" s="14">
        <f t="shared" si="1"/>
        <v>2097196.48</v>
      </c>
      <c r="O9" s="14">
        <f t="shared" si="1"/>
        <v>1239106.7000000002</v>
      </c>
      <c r="P9" s="14">
        <f t="shared" si="1"/>
        <v>849650.89999999991</v>
      </c>
      <c r="Q9" s="14">
        <f t="shared" si="1"/>
        <v>8438.880000000001</v>
      </c>
      <c r="R9" s="14">
        <f t="shared" si="1"/>
        <v>2701588.98</v>
      </c>
      <c r="S9" s="14">
        <f t="shared" si="1"/>
        <v>1222092.8999999999</v>
      </c>
      <c r="T9" s="14">
        <f t="shared" si="1"/>
        <v>1476268.3</v>
      </c>
      <c r="U9" s="14">
        <f t="shared" si="1"/>
        <v>3227.78</v>
      </c>
      <c r="V9" s="41">
        <f t="shared" ref="V9:V72" si="2">J9/F9</f>
        <v>0.3700301894208114</v>
      </c>
    </row>
    <row r="10" spans="1:22" ht="33">
      <c r="A10" s="15" t="s">
        <v>21</v>
      </c>
      <c r="B10" s="16" t="s">
        <v>22</v>
      </c>
      <c r="C10" s="17" t="s">
        <v>20</v>
      </c>
      <c r="D10" s="17" t="s">
        <v>20</v>
      </c>
      <c r="E10" s="17" t="s">
        <v>20</v>
      </c>
      <c r="F10" s="18">
        <f>F12+F13+F14+F16+F17+F18+F19+F15</f>
        <v>348818.49</v>
      </c>
      <c r="G10" s="18">
        <f t="shared" ref="G10:U10" si="3">G12+G13+G14+G16+G17+G18+G19+G15</f>
        <v>15119.69</v>
      </c>
      <c r="H10" s="18">
        <f t="shared" si="3"/>
        <v>333698.80000000005</v>
      </c>
      <c r="I10" s="18">
        <f t="shared" si="3"/>
        <v>0</v>
      </c>
      <c r="J10" s="18">
        <f t="shared" si="3"/>
        <v>92847.47</v>
      </c>
      <c r="K10" s="18">
        <f t="shared" si="3"/>
        <v>2986.54</v>
      </c>
      <c r="L10" s="18">
        <f t="shared" si="3"/>
        <v>89860.93</v>
      </c>
      <c r="M10" s="18">
        <f t="shared" si="3"/>
        <v>0</v>
      </c>
      <c r="N10" s="18">
        <f t="shared" si="3"/>
        <v>260053.7</v>
      </c>
      <c r="O10" s="18">
        <f t="shared" si="3"/>
        <v>7939.8000000000056</v>
      </c>
      <c r="P10" s="18">
        <f t="shared" si="3"/>
        <v>252113.9</v>
      </c>
      <c r="Q10" s="18">
        <f t="shared" si="3"/>
        <v>0</v>
      </c>
      <c r="R10" s="18">
        <f t="shared" si="3"/>
        <v>89065.4</v>
      </c>
      <c r="S10" s="18">
        <f t="shared" si="3"/>
        <v>3030.2999999999984</v>
      </c>
      <c r="T10" s="18">
        <f t="shared" si="3"/>
        <v>86035.1</v>
      </c>
      <c r="U10" s="18">
        <f t="shared" si="3"/>
        <v>0</v>
      </c>
      <c r="V10" s="42">
        <f t="shared" si="2"/>
        <v>0.26617703092516687</v>
      </c>
    </row>
    <row r="11" spans="1:22" ht="16.5">
      <c r="A11" s="15"/>
      <c r="B11" s="19" t="s">
        <v>23</v>
      </c>
      <c r="C11" s="20"/>
      <c r="D11" s="20"/>
      <c r="E11" s="20"/>
      <c r="F11" s="21"/>
      <c r="G11" s="21"/>
      <c r="H11" s="21"/>
      <c r="I11" s="21"/>
      <c r="J11" s="22"/>
      <c r="K11" s="22"/>
      <c r="L11" s="22"/>
      <c r="M11" s="22"/>
      <c r="N11" s="21"/>
      <c r="O11" s="21"/>
      <c r="P11" s="21"/>
      <c r="Q11" s="21"/>
      <c r="R11" s="21"/>
      <c r="S11" s="21"/>
      <c r="T11" s="21"/>
      <c r="U11" s="21"/>
      <c r="V11" s="43"/>
    </row>
    <row r="12" spans="1:22" ht="49.5">
      <c r="A12" s="15" t="s">
        <v>24</v>
      </c>
      <c r="B12" s="23" t="s">
        <v>25</v>
      </c>
      <c r="C12" s="20">
        <v>839</v>
      </c>
      <c r="D12" s="24" t="s">
        <v>26</v>
      </c>
      <c r="E12" s="20" t="s">
        <v>27</v>
      </c>
      <c r="F12" s="21">
        <f>G12+H12+I12</f>
        <v>25141.67</v>
      </c>
      <c r="G12" s="21">
        <v>1257.1199999999999</v>
      </c>
      <c r="H12" s="21">
        <f>22786.6-19.7+1496.7+536.34-915.39</f>
        <v>23884.55</v>
      </c>
      <c r="I12" s="21"/>
      <c r="J12" s="22">
        <f>K12+L12+M12</f>
        <v>3210.39</v>
      </c>
      <c r="K12" s="22">
        <f>160.52</f>
        <v>160.52000000000001</v>
      </c>
      <c r="L12" s="22">
        <f>3049.87</f>
        <v>3049.87</v>
      </c>
      <c r="M12" s="22"/>
      <c r="N12" s="21">
        <f>O12+P12+Q12</f>
        <v>23985.899999999998</v>
      </c>
      <c r="O12" s="21">
        <v>1199.3</v>
      </c>
      <c r="P12" s="21">
        <v>22786.6</v>
      </c>
      <c r="Q12" s="21"/>
      <c r="R12" s="21">
        <f>S12+U12+T12</f>
        <v>23985.899999999998</v>
      </c>
      <c r="S12" s="21">
        <v>1199.3</v>
      </c>
      <c r="T12" s="21">
        <v>22786.6</v>
      </c>
      <c r="U12" s="21"/>
      <c r="V12" s="43">
        <f t="shared" si="2"/>
        <v>0.12769199500271861</v>
      </c>
    </row>
    <row r="13" spans="1:22" ht="66">
      <c r="A13" s="15" t="s">
        <v>24</v>
      </c>
      <c r="B13" s="23" t="s">
        <v>28</v>
      </c>
      <c r="C13" s="20">
        <v>839</v>
      </c>
      <c r="D13" s="24" t="s">
        <v>26</v>
      </c>
      <c r="E13" s="20" t="s">
        <v>29</v>
      </c>
      <c r="F13" s="21">
        <f>G13+H13+I13</f>
        <v>3481.5199999999995</v>
      </c>
      <c r="G13" s="21">
        <f>231.9+1-78.8-28.23+48.2</f>
        <v>174.07000000000002</v>
      </c>
      <c r="H13" s="21">
        <f>4405.4+19.7-1496.7-536.34+915.39</f>
        <v>3307.4499999999994</v>
      </c>
      <c r="I13" s="21"/>
      <c r="J13" s="22">
        <f>K13+L13+M13</f>
        <v>685</v>
      </c>
      <c r="K13" s="22">
        <f>0.75+33.5</f>
        <v>34.25</v>
      </c>
      <c r="L13" s="22">
        <f>14.25+636.5</f>
        <v>650.75</v>
      </c>
      <c r="M13" s="22"/>
      <c r="N13" s="21">
        <f t="shared" ref="N13:N18" si="4">O13+P13+Q13</f>
        <v>4637.2999999999993</v>
      </c>
      <c r="O13" s="21">
        <f>231.9</f>
        <v>231.9</v>
      </c>
      <c r="P13" s="21">
        <f>4405.4</f>
        <v>4405.3999999999996</v>
      </c>
      <c r="Q13" s="21"/>
      <c r="R13" s="21">
        <f t="shared" ref="R13:R18" si="5">S13+U13+T13</f>
        <v>4637.2999999999993</v>
      </c>
      <c r="S13" s="21">
        <v>231.9</v>
      </c>
      <c r="T13" s="21">
        <v>4405.3999999999996</v>
      </c>
      <c r="U13" s="21"/>
      <c r="V13" s="43">
        <f t="shared" si="2"/>
        <v>0.19675314230565963</v>
      </c>
    </row>
    <row r="14" spans="1:22" ht="132">
      <c r="A14" s="15" t="s">
        <v>24</v>
      </c>
      <c r="B14" s="23" t="s">
        <v>30</v>
      </c>
      <c r="C14" s="20">
        <v>811</v>
      </c>
      <c r="D14" s="24" t="s">
        <v>31</v>
      </c>
      <c r="E14" s="20" t="s">
        <v>32</v>
      </c>
      <c r="F14" s="21">
        <f t="shared" ref="F14:F36" si="6">G14+H14+I14</f>
        <v>0</v>
      </c>
      <c r="G14" s="21"/>
      <c r="H14" s="21"/>
      <c r="I14" s="21"/>
      <c r="J14" s="22"/>
      <c r="K14" s="22"/>
      <c r="L14" s="22"/>
      <c r="M14" s="22"/>
      <c r="N14" s="21">
        <f t="shared" si="4"/>
        <v>27312.6</v>
      </c>
      <c r="O14" s="21"/>
      <c r="P14" s="21">
        <v>27312.6</v>
      </c>
      <c r="Q14" s="21"/>
      <c r="R14" s="21">
        <f t="shared" si="5"/>
        <v>7245</v>
      </c>
      <c r="S14" s="21"/>
      <c r="T14" s="21">
        <v>7245</v>
      </c>
      <c r="U14" s="21"/>
      <c r="V14" s="43"/>
    </row>
    <row r="15" spans="1:22" ht="66">
      <c r="A15" s="15"/>
      <c r="B15" s="23" t="s">
        <v>333</v>
      </c>
      <c r="C15" s="20">
        <v>809</v>
      </c>
      <c r="D15" s="24" t="s">
        <v>40</v>
      </c>
      <c r="E15" s="20" t="s">
        <v>334</v>
      </c>
      <c r="F15" s="21">
        <f>G15</f>
        <v>3539.6</v>
      </c>
      <c r="G15" s="21">
        <v>3539.6</v>
      </c>
      <c r="H15" s="21"/>
      <c r="I15" s="21"/>
      <c r="J15" s="22"/>
      <c r="K15" s="22"/>
      <c r="L15" s="22"/>
      <c r="M15" s="22"/>
      <c r="N15" s="21"/>
      <c r="O15" s="21"/>
      <c r="P15" s="21"/>
      <c r="Q15" s="21"/>
      <c r="R15" s="21"/>
      <c r="S15" s="21"/>
      <c r="T15" s="21"/>
      <c r="U15" s="21"/>
      <c r="V15" s="43">
        <f t="shared" si="2"/>
        <v>0</v>
      </c>
    </row>
    <row r="16" spans="1:22" ht="82.5">
      <c r="A16" s="15" t="s">
        <v>24</v>
      </c>
      <c r="B16" s="23" t="s">
        <v>33</v>
      </c>
      <c r="C16" s="20">
        <v>811</v>
      </c>
      <c r="D16" s="24" t="s">
        <v>31</v>
      </c>
      <c r="E16" s="20" t="s">
        <v>34</v>
      </c>
      <c r="F16" s="21">
        <f t="shared" si="6"/>
        <v>1634.4</v>
      </c>
      <c r="G16" s="21"/>
      <c r="H16" s="21">
        <v>1634.4</v>
      </c>
      <c r="I16" s="21"/>
      <c r="J16" s="22">
        <f>K16+L16</f>
        <v>1625.49</v>
      </c>
      <c r="K16" s="22"/>
      <c r="L16" s="22">
        <v>1625.49</v>
      </c>
      <c r="M16" s="22"/>
      <c r="N16" s="21">
        <f t="shared" si="4"/>
        <v>163.69999999999999</v>
      </c>
      <c r="O16" s="21"/>
      <c r="P16" s="21">
        <v>163.69999999999999</v>
      </c>
      <c r="Q16" s="21"/>
      <c r="R16" s="21">
        <f t="shared" si="5"/>
        <v>163.5</v>
      </c>
      <c r="S16" s="21"/>
      <c r="T16" s="21">
        <v>163.5</v>
      </c>
      <c r="U16" s="21"/>
      <c r="V16" s="43">
        <f t="shared" si="2"/>
        <v>0.99454845814977966</v>
      </c>
    </row>
    <row r="17" spans="1:22" ht="82.5">
      <c r="A17" s="15" t="s">
        <v>35</v>
      </c>
      <c r="B17" s="23" t="s">
        <v>36</v>
      </c>
      <c r="C17" s="20">
        <v>821</v>
      </c>
      <c r="D17" s="24" t="s">
        <v>37</v>
      </c>
      <c r="E17" s="20" t="s">
        <v>38</v>
      </c>
      <c r="F17" s="21">
        <f>G17+H17+I17</f>
        <v>292352.09999999998</v>
      </c>
      <c r="G17" s="21">
        <f>8753.1+581.5</f>
        <v>9334.6</v>
      </c>
      <c r="H17" s="21">
        <v>283017.5</v>
      </c>
      <c r="I17" s="21"/>
      <c r="J17" s="22">
        <f>K17+L17</f>
        <v>65916.289999999994</v>
      </c>
      <c r="K17" s="22">
        <f>435.51+826.04+715.93</f>
        <v>1977.48</v>
      </c>
      <c r="L17" s="22">
        <f>14081.51+26708.69+23148.61</f>
        <v>63938.81</v>
      </c>
      <c r="M17" s="22"/>
      <c r="N17" s="21">
        <f t="shared" si="4"/>
        <v>203954.2</v>
      </c>
      <c r="O17" s="21">
        <f>203954.2-197445.6</f>
        <v>6508.6000000000058</v>
      </c>
      <c r="P17" s="21">
        <v>197445.6</v>
      </c>
      <c r="Q17" s="21"/>
      <c r="R17" s="21">
        <f t="shared" si="5"/>
        <v>53033.7</v>
      </c>
      <c r="S17" s="21">
        <f>4047.7+32717+16269-51434.6</f>
        <v>1599.0999999999985</v>
      </c>
      <c r="T17" s="21">
        <v>51434.6</v>
      </c>
      <c r="U17" s="21"/>
      <c r="V17" s="43">
        <f t="shared" si="2"/>
        <v>0.22546884390431948</v>
      </c>
    </row>
    <row r="18" spans="1:22" ht="66">
      <c r="A18" s="15" t="s">
        <v>24</v>
      </c>
      <c r="B18" s="23" t="s">
        <v>39</v>
      </c>
      <c r="C18" s="20">
        <v>809</v>
      </c>
      <c r="D18" s="24" t="s">
        <v>40</v>
      </c>
      <c r="E18" s="20" t="s">
        <v>41</v>
      </c>
      <c r="F18" s="21">
        <f>G18+H18+I18</f>
        <v>22669.200000000001</v>
      </c>
      <c r="G18" s="21">
        <f>675.9+138.4</f>
        <v>814.3</v>
      </c>
      <c r="H18" s="21">
        <v>21854.9</v>
      </c>
      <c r="I18" s="21"/>
      <c r="J18" s="22">
        <f>K18+L18</f>
        <v>21410.3</v>
      </c>
      <c r="K18" s="22">
        <v>814.29</v>
      </c>
      <c r="L18" s="22">
        <f>21224.87-628.86</f>
        <v>20596.009999999998</v>
      </c>
      <c r="M18" s="22"/>
      <c r="N18" s="21">
        <f t="shared" si="4"/>
        <v>0</v>
      </c>
      <c r="O18" s="21"/>
      <c r="P18" s="21"/>
      <c r="Q18" s="21"/>
      <c r="R18" s="21">
        <f t="shared" si="5"/>
        <v>0</v>
      </c>
      <c r="S18" s="21"/>
      <c r="T18" s="21"/>
      <c r="U18" s="21"/>
      <c r="V18" s="43">
        <f t="shared" si="2"/>
        <v>0.94446650080285144</v>
      </c>
    </row>
    <row r="19" spans="1:22" ht="66">
      <c r="A19" s="15"/>
      <c r="B19" s="23" t="s">
        <v>42</v>
      </c>
      <c r="C19" s="20">
        <v>821</v>
      </c>
      <c r="D19" s="24" t="s">
        <v>37</v>
      </c>
      <c r="E19" s="20" t="s">
        <v>43</v>
      </c>
      <c r="F19" s="21">
        <f>G19</f>
        <v>0</v>
      </c>
      <c r="G19" s="21">
        <f>581.5-581.5</f>
        <v>0</v>
      </c>
      <c r="H19" s="21"/>
      <c r="I19" s="21"/>
      <c r="J19" s="22"/>
      <c r="K19" s="22"/>
      <c r="L19" s="22"/>
      <c r="M19" s="22"/>
      <c r="N19" s="21">
        <f>O19</f>
        <v>0</v>
      </c>
      <c r="O19" s="21">
        <f>402-402</f>
        <v>0</v>
      </c>
      <c r="P19" s="21"/>
      <c r="Q19" s="21"/>
      <c r="R19" s="21">
        <f>S19</f>
        <v>0</v>
      </c>
      <c r="S19" s="21">
        <f>8.3-8.3</f>
        <v>0</v>
      </c>
      <c r="T19" s="21"/>
      <c r="U19" s="21"/>
      <c r="V19" s="43"/>
    </row>
    <row r="20" spans="1:22" ht="33">
      <c r="A20" s="15" t="s">
        <v>44</v>
      </c>
      <c r="B20" s="16" t="s">
        <v>45</v>
      </c>
      <c r="C20" s="17" t="s">
        <v>20</v>
      </c>
      <c r="D20" s="17" t="s">
        <v>20</v>
      </c>
      <c r="E20" s="17" t="s">
        <v>20</v>
      </c>
      <c r="F20" s="18">
        <f>F22+F25+F26+F29+F27+F28+F24+F23</f>
        <v>269513.39</v>
      </c>
      <c r="G20" s="18">
        <f t="shared" ref="G20:M20" si="7">G22+G25+G26+G29+G27+G28+G24+G23</f>
        <v>205371.1</v>
      </c>
      <c r="H20" s="18">
        <f t="shared" si="7"/>
        <v>19758.099999999999</v>
      </c>
      <c r="I20" s="18">
        <f t="shared" si="7"/>
        <v>44384.19</v>
      </c>
      <c r="J20" s="18">
        <f t="shared" si="7"/>
        <v>144740.44999999998</v>
      </c>
      <c r="K20" s="18">
        <f t="shared" si="7"/>
        <v>123342.70000000001</v>
      </c>
      <c r="L20" s="18">
        <f t="shared" si="7"/>
        <v>0</v>
      </c>
      <c r="M20" s="18">
        <f t="shared" si="7"/>
        <v>21397.75</v>
      </c>
      <c r="N20" s="18">
        <f t="shared" ref="N20:U20" si="8">N22+N25+N26+N29+N27+N28+N24+N23</f>
        <v>155552.38</v>
      </c>
      <c r="O20" s="18">
        <f t="shared" si="8"/>
        <v>111731.6</v>
      </c>
      <c r="P20" s="18">
        <f t="shared" si="8"/>
        <v>35381.9</v>
      </c>
      <c r="Q20" s="18">
        <f t="shared" si="8"/>
        <v>8438.880000000001</v>
      </c>
      <c r="R20" s="18">
        <f t="shared" si="8"/>
        <v>312779.68</v>
      </c>
      <c r="S20" s="18">
        <f t="shared" si="8"/>
        <v>82654.8</v>
      </c>
      <c r="T20" s="18">
        <f t="shared" si="8"/>
        <v>226897.09999999998</v>
      </c>
      <c r="U20" s="18">
        <f t="shared" si="8"/>
        <v>3227.78</v>
      </c>
      <c r="V20" s="42">
        <f t="shared" si="2"/>
        <v>0.53704363260022059</v>
      </c>
    </row>
    <row r="21" spans="1:22" ht="16.5">
      <c r="A21" s="25"/>
      <c r="B21" s="19" t="s">
        <v>23</v>
      </c>
      <c r="C21" s="20"/>
      <c r="D21" s="20"/>
      <c r="E21" s="20"/>
      <c r="F21" s="21"/>
      <c r="G21" s="21"/>
      <c r="H21" s="21"/>
      <c r="I21" s="21"/>
      <c r="J21" s="22"/>
      <c r="K21" s="22"/>
      <c r="L21" s="22"/>
      <c r="M21" s="22"/>
      <c r="N21" s="21"/>
      <c r="O21" s="21"/>
      <c r="P21" s="21"/>
      <c r="Q21" s="21"/>
      <c r="R21" s="21"/>
      <c r="S21" s="21"/>
      <c r="T21" s="21"/>
      <c r="U21" s="21"/>
      <c r="V21" s="43"/>
    </row>
    <row r="22" spans="1:22" ht="99">
      <c r="A22" s="25" t="s">
        <v>35</v>
      </c>
      <c r="B22" s="23" t="s">
        <v>46</v>
      </c>
      <c r="C22" s="20">
        <v>813</v>
      </c>
      <c r="D22" s="24" t="s">
        <v>47</v>
      </c>
      <c r="E22" s="20" t="s">
        <v>48</v>
      </c>
      <c r="F22" s="21">
        <f t="shared" si="6"/>
        <v>20999.42</v>
      </c>
      <c r="G22" s="21">
        <v>611.1</v>
      </c>
      <c r="H22" s="21">
        <v>19758.099999999999</v>
      </c>
      <c r="I22" s="22">
        <v>630.22</v>
      </c>
      <c r="J22" s="22"/>
      <c r="K22" s="22"/>
      <c r="L22" s="22"/>
      <c r="M22" s="22"/>
      <c r="N22" s="21">
        <f>O22+P22+Q22</f>
        <v>10703</v>
      </c>
      <c r="O22" s="21">
        <v>321.10000000000002</v>
      </c>
      <c r="P22" s="21">
        <v>10381.9</v>
      </c>
      <c r="Q22" s="21"/>
      <c r="R22" s="21">
        <f>S22+T22+U22</f>
        <v>6889.4</v>
      </c>
      <c r="S22" s="21">
        <v>206.7</v>
      </c>
      <c r="T22" s="21">
        <v>6682.7</v>
      </c>
      <c r="U22" s="21"/>
      <c r="V22" s="43">
        <f t="shared" si="2"/>
        <v>0</v>
      </c>
    </row>
    <row r="23" spans="1:22" ht="66">
      <c r="A23" s="25"/>
      <c r="B23" s="23" t="s">
        <v>328</v>
      </c>
      <c r="C23" s="20">
        <v>821</v>
      </c>
      <c r="D23" s="24" t="s">
        <v>37</v>
      </c>
      <c r="E23" s="20" t="s">
        <v>327</v>
      </c>
      <c r="F23" s="21">
        <f>G23+H23+I23</f>
        <v>33564.370000000003</v>
      </c>
      <c r="G23" s="21">
        <v>25122.7</v>
      </c>
      <c r="H23" s="21"/>
      <c r="I23" s="22">
        <v>8441.67</v>
      </c>
      <c r="J23" s="22">
        <f>K23+L23+M23</f>
        <v>9610.7200000000012</v>
      </c>
      <c r="K23" s="22">
        <v>8845.68</v>
      </c>
      <c r="L23" s="22"/>
      <c r="M23" s="22">
        <v>765.04</v>
      </c>
      <c r="N23" s="21"/>
      <c r="O23" s="21"/>
      <c r="P23" s="21"/>
      <c r="Q23" s="21"/>
      <c r="R23" s="21"/>
      <c r="S23" s="21"/>
      <c r="T23" s="21"/>
      <c r="U23" s="21"/>
      <c r="V23" s="43">
        <f t="shared" si="2"/>
        <v>0.28633696982842222</v>
      </c>
    </row>
    <row r="24" spans="1:22" ht="66">
      <c r="A24" s="25"/>
      <c r="B24" s="23" t="s">
        <v>326</v>
      </c>
      <c r="C24" s="20">
        <v>821</v>
      </c>
      <c r="D24" s="24" t="s">
        <v>37</v>
      </c>
      <c r="E24" s="20" t="s">
        <v>325</v>
      </c>
      <c r="F24" s="21">
        <f>G24+H24+I24</f>
        <v>102128.81</v>
      </c>
      <c r="G24" s="21">
        <v>79000</v>
      </c>
      <c r="H24" s="21"/>
      <c r="I24" s="22">
        <v>23128.81</v>
      </c>
      <c r="J24" s="22">
        <f>K24+L24+M24</f>
        <v>42799.31</v>
      </c>
      <c r="K24" s="22">
        <v>29509.67</v>
      </c>
      <c r="L24" s="22"/>
      <c r="M24" s="22">
        <v>13289.64</v>
      </c>
      <c r="N24" s="21">
        <f>O24+P24+Q24</f>
        <v>40211.1</v>
      </c>
      <c r="O24" s="21">
        <v>35000</v>
      </c>
      <c r="P24" s="21"/>
      <c r="Q24" s="21">
        <v>5211.1000000000004</v>
      </c>
      <c r="R24" s="21"/>
      <c r="S24" s="21"/>
      <c r="T24" s="21"/>
      <c r="U24" s="21"/>
      <c r="V24" s="43">
        <f t="shared" si="2"/>
        <v>0.4190718564134841</v>
      </c>
    </row>
    <row r="25" spans="1:22" ht="99">
      <c r="A25" s="25"/>
      <c r="B25" s="23" t="s">
        <v>49</v>
      </c>
      <c r="C25" s="20">
        <v>813</v>
      </c>
      <c r="D25" s="24" t="s">
        <v>47</v>
      </c>
      <c r="E25" s="20" t="s">
        <v>50</v>
      </c>
      <c r="F25" s="21">
        <f>I25+H25+G25</f>
        <v>0</v>
      </c>
      <c r="G25" s="21"/>
      <c r="H25" s="21"/>
      <c r="I25" s="21"/>
      <c r="J25" s="22"/>
      <c r="K25" s="22"/>
      <c r="L25" s="22"/>
      <c r="M25" s="22"/>
      <c r="N25" s="21">
        <f>O25+P25+Q25</f>
        <v>25773.200000000001</v>
      </c>
      <c r="O25" s="21">
        <v>773.2</v>
      </c>
      <c r="P25" s="21">
        <v>25000</v>
      </c>
      <c r="Q25" s="21"/>
      <c r="R25" s="21">
        <f t="shared" ref="R25:R26" si="9">S25+T25+U25</f>
        <v>44329.9</v>
      </c>
      <c r="S25" s="21">
        <v>1329.9</v>
      </c>
      <c r="T25" s="21">
        <v>43000</v>
      </c>
      <c r="U25" s="21"/>
      <c r="V25" s="43"/>
    </row>
    <row r="26" spans="1:22" ht="66">
      <c r="A26" s="25"/>
      <c r="B26" s="23" t="s">
        <v>51</v>
      </c>
      <c r="C26" s="20">
        <v>821</v>
      </c>
      <c r="D26" s="24" t="s">
        <v>37</v>
      </c>
      <c r="E26" s="20" t="s">
        <v>52</v>
      </c>
      <c r="F26" s="21">
        <f t="shared" ref="F26" si="10">I26+H26+G26</f>
        <v>0</v>
      </c>
      <c r="G26" s="21"/>
      <c r="H26" s="21"/>
      <c r="I26" s="21"/>
      <c r="J26" s="22"/>
      <c r="K26" s="22"/>
      <c r="L26" s="22"/>
      <c r="M26" s="22"/>
      <c r="N26" s="21">
        <f t="shared" ref="N26" si="11">O26+P26+Q26</f>
        <v>0</v>
      </c>
      <c r="O26" s="21"/>
      <c r="P26" s="21"/>
      <c r="Q26" s="21"/>
      <c r="R26" s="21">
        <f t="shared" si="9"/>
        <v>182695.3</v>
      </c>
      <c r="S26" s="21">
        <v>5480.9</v>
      </c>
      <c r="T26" s="21">
        <v>177214.4</v>
      </c>
      <c r="U26" s="21"/>
      <c r="V26" s="43"/>
    </row>
    <row r="27" spans="1:22" ht="148.5">
      <c r="A27" s="25"/>
      <c r="B27" s="23" t="s">
        <v>53</v>
      </c>
      <c r="C27" s="20">
        <v>813</v>
      </c>
      <c r="D27" s="24" t="s">
        <v>47</v>
      </c>
      <c r="E27" s="20" t="s">
        <v>54</v>
      </c>
      <c r="F27" s="21">
        <f>G27+H27+I27</f>
        <v>9900</v>
      </c>
      <c r="G27" s="21">
        <v>9000</v>
      </c>
      <c r="H27" s="21"/>
      <c r="I27" s="21">
        <v>900</v>
      </c>
      <c r="J27" s="22">
        <f>K27+L27+M27</f>
        <v>9442.9299999999985</v>
      </c>
      <c r="K27" s="22">
        <v>8599.0499999999993</v>
      </c>
      <c r="L27" s="22"/>
      <c r="M27" s="22">
        <v>843.88</v>
      </c>
      <c r="N27" s="21">
        <f>O27+P27+Q27</f>
        <v>9090</v>
      </c>
      <c r="O27" s="21">
        <v>9000</v>
      </c>
      <c r="P27" s="21"/>
      <c r="Q27" s="21">
        <v>90</v>
      </c>
      <c r="R27" s="21">
        <f>S27+T27+U27</f>
        <v>9090</v>
      </c>
      <c r="S27" s="21">
        <v>9000</v>
      </c>
      <c r="T27" s="21"/>
      <c r="U27" s="21">
        <v>90</v>
      </c>
      <c r="V27" s="43">
        <f t="shared" si="2"/>
        <v>0.95383131313131297</v>
      </c>
    </row>
    <row r="28" spans="1:22" ht="99">
      <c r="A28" s="25"/>
      <c r="B28" s="23" t="s">
        <v>55</v>
      </c>
      <c r="C28" s="20">
        <v>813</v>
      </c>
      <c r="D28" s="24" t="s">
        <v>47</v>
      </c>
      <c r="E28" s="20" t="s">
        <v>56</v>
      </c>
      <c r="F28" s="21">
        <f>G28+H28+I28</f>
        <v>30680.73</v>
      </c>
      <c r="G28" s="21">
        <v>30000</v>
      </c>
      <c r="H28" s="21"/>
      <c r="I28" s="22">
        <v>680.73</v>
      </c>
      <c r="J28" s="22">
        <f>K28+L28+M28</f>
        <v>28191.29</v>
      </c>
      <c r="K28" s="22">
        <f>12593.9+15066.9</f>
        <v>27660.799999999999</v>
      </c>
      <c r="L28" s="22"/>
      <c r="M28" s="22">
        <v>530.49</v>
      </c>
      <c r="N28" s="21">
        <f>O28+P28+Q28</f>
        <v>10000</v>
      </c>
      <c r="O28" s="21">
        <v>10000</v>
      </c>
      <c r="P28" s="21"/>
      <c r="Q28" s="21"/>
      <c r="R28" s="21">
        <f>S28+T28+U28</f>
        <v>10000</v>
      </c>
      <c r="S28" s="21">
        <v>10000</v>
      </c>
      <c r="T28" s="21"/>
      <c r="U28" s="21"/>
      <c r="V28" s="43">
        <f t="shared" si="2"/>
        <v>0.91885981852452669</v>
      </c>
    </row>
    <row r="29" spans="1:22" ht="99">
      <c r="A29" s="25"/>
      <c r="B29" s="23" t="s">
        <v>57</v>
      </c>
      <c r="C29" s="20">
        <v>813</v>
      </c>
      <c r="D29" s="24" t="s">
        <v>47</v>
      </c>
      <c r="E29" s="20" t="s">
        <v>58</v>
      </c>
      <c r="F29" s="21">
        <f>G29+H29+I29</f>
        <v>72240.06</v>
      </c>
      <c r="G29" s="21">
        <v>61637.3</v>
      </c>
      <c r="H29" s="21"/>
      <c r="I29" s="21">
        <v>10602.76</v>
      </c>
      <c r="J29" s="22">
        <f>K29+L29+M29</f>
        <v>54696.2</v>
      </c>
      <c r="K29" s="22">
        <f>44368.3+4359.2</f>
        <v>48727.5</v>
      </c>
      <c r="L29" s="22"/>
      <c r="M29" s="22">
        <v>5968.7</v>
      </c>
      <c r="N29" s="21">
        <f>O29+P29+Q29</f>
        <v>59775.08</v>
      </c>
      <c r="O29" s="21">
        <v>56637.3</v>
      </c>
      <c r="P29" s="21"/>
      <c r="Q29" s="21">
        <v>3137.78</v>
      </c>
      <c r="R29" s="21">
        <f>S29+T29+U29</f>
        <v>59775.08</v>
      </c>
      <c r="S29" s="21">
        <v>56637.3</v>
      </c>
      <c r="T29" s="21"/>
      <c r="U29" s="21">
        <v>3137.78</v>
      </c>
      <c r="V29" s="43">
        <f t="shared" si="2"/>
        <v>0.75714499683416647</v>
      </c>
    </row>
    <row r="30" spans="1:22" ht="66">
      <c r="A30" s="15" t="s">
        <v>59</v>
      </c>
      <c r="B30" s="16" t="s">
        <v>60</v>
      </c>
      <c r="C30" s="17" t="s">
        <v>20</v>
      </c>
      <c r="D30" s="17" t="s">
        <v>20</v>
      </c>
      <c r="E30" s="17" t="s">
        <v>20</v>
      </c>
      <c r="F30" s="18">
        <f>F32+F33</f>
        <v>1220414.02</v>
      </c>
      <c r="G30" s="18">
        <f t="shared" ref="G30:U30" si="12">G32+G33</f>
        <v>572787.30000000005</v>
      </c>
      <c r="H30" s="18">
        <f t="shared" si="12"/>
        <v>646684.69999999995</v>
      </c>
      <c r="I30" s="18">
        <f t="shared" si="12"/>
        <v>942.02</v>
      </c>
      <c r="J30" s="18">
        <f t="shared" si="12"/>
        <v>0</v>
      </c>
      <c r="K30" s="18">
        <f t="shared" si="12"/>
        <v>0</v>
      </c>
      <c r="L30" s="18">
        <f t="shared" si="12"/>
        <v>0</v>
      </c>
      <c r="M30" s="18">
        <f t="shared" si="12"/>
        <v>0</v>
      </c>
      <c r="N30" s="18">
        <f t="shared" si="12"/>
        <v>613603.1</v>
      </c>
      <c r="O30" s="18">
        <f t="shared" si="12"/>
        <v>339568.5</v>
      </c>
      <c r="P30" s="18">
        <f t="shared" si="12"/>
        <v>274034.59999999998</v>
      </c>
      <c r="Q30" s="18">
        <f t="shared" si="12"/>
        <v>0</v>
      </c>
      <c r="R30" s="18">
        <f t="shared" si="12"/>
        <v>1229501.3</v>
      </c>
      <c r="S30" s="18">
        <f t="shared" si="12"/>
        <v>356541</v>
      </c>
      <c r="T30" s="18">
        <f t="shared" si="12"/>
        <v>872960.3</v>
      </c>
      <c r="U30" s="18">
        <f t="shared" si="12"/>
        <v>0</v>
      </c>
      <c r="V30" s="42">
        <f t="shared" si="2"/>
        <v>0</v>
      </c>
    </row>
    <row r="31" spans="1:22" ht="16.5">
      <c r="A31" s="15"/>
      <c r="B31" s="19" t="s">
        <v>23</v>
      </c>
      <c r="C31" s="20"/>
      <c r="D31" s="20"/>
      <c r="E31" s="20"/>
      <c r="F31" s="21"/>
      <c r="G31" s="21"/>
      <c r="H31" s="21"/>
      <c r="I31" s="21"/>
      <c r="J31" s="22"/>
      <c r="K31" s="22"/>
      <c r="L31" s="22"/>
      <c r="M31" s="22"/>
      <c r="N31" s="21"/>
      <c r="O31" s="21"/>
      <c r="P31" s="21"/>
      <c r="Q31" s="21"/>
      <c r="R31" s="21"/>
      <c r="S31" s="21"/>
      <c r="T31" s="21"/>
      <c r="U31" s="21"/>
      <c r="V31" s="43"/>
    </row>
    <row r="32" spans="1:22" ht="99">
      <c r="A32" s="15" t="s">
        <v>24</v>
      </c>
      <c r="B32" s="23" t="s">
        <v>61</v>
      </c>
      <c r="C32" s="20">
        <v>821</v>
      </c>
      <c r="D32" s="24" t="s">
        <v>37</v>
      </c>
      <c r="E32" s="20" t="s">
        <v>62</v>
      </c>
      <c r="F32" s="21">
        <f>G32+H32+I32</f>
        <v>413353.63</v>
      </c>
      <c r="G32" s="21">
        <f>33905.3+213665</f>
        <v>247570.3</v>
      </c>
      <c r="H32" s="21">
        <v>165537.60000000001</v>
      </c>
      <c r="I32" s="22">
        <v>245.73</v>
      </c>
      <c r="J32" s="22"/>
      <c r="K32" s="22"/>
      <c r="L32" s="22"/>
      <c r="M32" s="22"/>
      <c r="N32" s="21"/>
      <c r="O32" s="21"/>
      <c r="P32" s="21"/>
      <c r="Q32" s="21"/>
      <c r="R32" s="21"/>
      <c r="S32" s="21"/>
      <c r="T32" s="21"/>
      <c r="U32" s="21"/>
      <c r="V32" s="43">
        <f t="shared" si="2"/>
        <v>0</v>
      </c>
    </row>
    <row r="33" spans="1:22" ht="99">
      <c r="A33" s="15" t="s">
        <v>35</v>
      </c>
      <c r="B33" s="23" t="s">
        <v>63</v>
      </c>
      <c r="C33" s="20">
        <v>821</v>
      </c>
      <c r="D33" s="24" t="s">
        <v>37</v>
      </c>
      <c r="E33" s="20" t="s">
        <v>64</v>
      </c>
      <c r="F33" s="21">
        <f>G33+H33+I33</f>
        <v>807060.39</v>
      </c>
      <c r="G33" s="21">
        <f>228574.5+96642.5</f>
        <v>325217</v>
      </c>
      <c r="H33" s="21">
        <v>481147.1</v>
      </c>
      <c r="I33" s="22">
        <v>696.29</v>
      </c>
      <c r="J33" s="22"/>
      <c r="K33" s="22"/>
      <c r="L33" s="22"/>
      <c r="M33" s="22"/>
      <c r="N33" s="21">
        <f>O33+P33+Q33</f>
        <v>613603.1</v>
      </c>
      <c r="O33" s="21">
        <f>98303.6+241264.9</f>
        <v>339568.5</v>
      </c>
      <c r="P33" s="21">
        <v>274034.59999999998</v>
      </c>
      <c r="Q33" s="21"/>
      <c r="R33" s="21">
        <f>S33+T33+U33</f>
        <v>1229501.3</v>
      </c>
      <c r="S33" s="21">
        <v>356541</v>
      </c>
      <c r="T33" s="21">
        <v>872960.3</v>
      </c>
      <c r="U33" s="21"/>
      <c r="V33" s="43">
        <f t="shared" si="2"/>
        <v>0</v>
      </c>
    </row>
    <row r="34" spans="1:22" ht="49.5">
      <c r="A34" s="15" t="s">
        <v>65</v>
      </c>
      <c r="B34" s="16" t="s">
        <v>66</v>
      </c>
      <c r="C34" s="17" t="s">
        <v>20</v>
      </c>
      <c r="D34" s="17" t="s">
        <v>20</v>
      </c>
      <c r="E34" s="17" t="s">
        <v>20</v>
      </c>
      <c r="F34" s="18">
        <f>F36+F37</f>
        <v>1145620.7000000002</v>
      </c>
      <c r="G34" s="18">
        <f t="shared" ref="G34:T34" si="13">G36+G37</f>
        <v>776166.8</v>
      </c>
      <c r="H34" s="18">
        <f t="shared" si="13"/>
        <v>369453.9</v>
      </c>
      <c r="I34" s="18">
        <f t="shared" si="13"/>
        <v>0</v>
      </c>
      <c r="J34" s="18">
        <f t="shared" si="13"/>
        <v>864927.74</v>
      </c>
      <c r="K34" s="18">
        <f t="shared" si="13"/>
        <v>558674.72</v>
      </c>
      <c r="L34" s="18">
        <f t="shared" si="13"/>
        <v>306253.02</v>
      </c>
      <c r="M34" s="18">
        <f t="shared" si="13"/>
        <v>0</v>
      </c>
      <c r="N34" s="18">
        <f t="shared" si="13"/>
        <v>1064287.3</v>
      </c>
      <c r="O34" s="18">
        <f t="shared" si="13"/>
        <v>776166.8</v>
      </c>
      <c r="P34" s="18">
        <f t="shared" si="13"/>
        <v>288120.5</v>
      </c>
      <c r="Q34" s="18">
        <f t="shared" si="13"/>
        <v>0</v>
      </c>
      <c r="R34" s="18">
        <f t="shared" si="13"/>
        <v>1066542.6000000001</v>
      </c>
      <c r="S34" s="18">
        <f t="shared" si="13"/>
        <v>776166.8</v>
      </c>
      <c r="T34" s="18">
        <f t="shared" si="13"/>
        <v>290375.8</v>
      </c>
      <c r="U34" s="18">
        <f t="shared" ref="U34" si="14">U36</f>
        <v>0</v>
      </c>
      <c r="V34" s="42">
        <f t="shared" si="2"/>
        <v>0.75498613109906254</v>
      </c>
    </row>
    <row r="35" spans="1:22" ht="16.5">
      <c r="A35" s="15"/>
      <c r="B35" s="19" t="s">
        <v>23</v>
      </c>
      <c r="C35" s="20"/>
      <c r="D35" s="24"/>
      <c r="E35" s="20"/>
      <c r="F35" s="21"/>
      <c r="G35" s="21"/>
      <c r="H35" s="21"/>
      <c r="I35" s="21"/>
      <c r="J35" s="22"/>
      <c r="K35" s="22"/>
      <c r="L35" s="22"/>
      <c r="M35" s="22"/>
      <c r="N35" s="21"/>
      <c r="O35" s="21"/>
      <c r="P35" s="21"/>
      <c r="Q35" s="21"/>
      <c r="R35" s="21"/>
      <c r="S35" s="21"/>
      <c r="T35" s="21"/>
      <c r="U35" s="21"/>
      <c r="V35" s="43"/>
    </row>
    <row r="36" spans="1:22" ht="66">
      <c r="A36" s="15" t="s">
        <v>67</v>
      </c>
      <c r="B36" s="23" t="s">
        <v>68</v>
      </c>
      <c r="C36" s="20">
        <v>809</v>
      </c>
      <c r="D36" s="24" t="s">
        <v>40</v>
      </c>
      <c r="E36" s="20" t="s">
        <v>69</v>
      </c>
      <c r="F36" s="21">
        <f t="shared" si="6"/>
        <v>369453.9</v>
      </c>
      <c r="G36" s="21"/>
      <c r="H36" s="21">
        <v>369453.9</v>
      </c>
      <c r="I36" s="21"/>
      <c r="J36" s="22">
        <f>K36+L36</f>
        <v>306253.02</v>
      </c>
      <c r="K36" s="22"/>
      <c r="L36" s="22">
        <f>305979.71+273.31</f>
        <v>306253.02</v>
      </c>
      <c r="M36" s="22"/>
      <c r="N36" s="21">
        <f>O36+P36+Q36</f>
        <v>288120.5</v>
      </c>
      <c r="O36" s="21"/>
      <c r="P36" s="21">
        <v>288120.5</v>
      </c>
      <c r="Q36" s="21"/>
      <c r="R36" s="21">
        <f>S36+T36+U36</f>
        <v>290375.8</v>
      </c>
      <c r="S36" s="21"/>
      <c r="T36" s="21">
        <v>290375.8</v>
      </c>
      <c r="U36" s="21"/>
      <c r="V36" s="43">
        <f t="shared" si="2"/>
        <v>0.8289343271244396</v>
      </c>
    </row>
    <row r="37" spans="1:22" ht="66">
      <c r="A37" s="15"/>
      <c r="B37" s="23" t="s">
        <v>70</v>
      </c>
      <c r="C37" s="20">
        <v>809</v>
      </c>
      <c r="D37" s="24" t="s">
        <v>40</v>
      </c>
      <c r="E37" s="20" t="s">
        <v>71</v>
      </c>
      <c r="F37" s="21">
        <f>G37</f>
        <v>776166.8</v>
      </c>
      <c r="G37" s="21">
        <v>776166.8</v>
      </c>
      <c r="H37" s="21"/>
      <c r="I37" s="21"/>
      <c r="J37" s="22">
        <f>K37</f>
        <v>558674.72</v>
      </c>
      <c r="K37" s="22">
        <f>558674.72</f>
        <v>558674.72</v>
      </c>
      <c r="L37" s="22"/>
      <c r="M37" s="22"/>
      <c r="N37" s="21">
        <f>O37</f>
        <v>776166.8</v>
      </c>
      <c r="O37" s="21">
        <v>776166.8</v>
      </c>
      <c r="P37" s="21"/>
      <c r="Q37" s="21"/>
      <c r="R37" s="21">
        <f>S37</f>
        <v>776166.8</v>
      </c>
      <c r="S37" s="21">
        <v>776166.8</v>
      </c>
      <c r="T37" s="21"/>
      <c r="U37" s="21"/>
      <c r="V37" s="43">
        <f t="shared" si="2"/>
        <v>0.71978693239648994</v>
      </c>
    </row>
    <row r="38" spans="1:22" ht="33">
      <c r="A38" s="15" t="s">
        <v>72</v>
      </c>
      <c r="B38" s="16" t="s">
        <v>73</v>
      </c>
      <c r="C38" s="17" t="s">
        <v>20</v>
      </c>
      <c r="D38" s="17" t="s">
        <v>20</v>
      </c>
      <c r="E38" s="17" t="s">
        <v>20</v>
      </c>
      <c r="F38" s="18">
        <f>F40</f>
        <v>3700</v>
      </c>
      <c r="G38" s="18">
        <f>G40</f>
        <v>3700</v>
      </c>
      <c r="H38" s="18">
        <f t="shared" ref="H38:U38" si="15">H40</f>
        <v>0</v>
      </c>
      <c r="I38" s="18">
        <f t="shared" si="15"/>
        <v>0</v>
      </c>
      <c r="J38" s="18">
        <f t="shared" si="15"/>
        <v>3159.1899999999996</v>
      </c>
      <c r="K38" s="18">
        <f t="shared" si="15"/>
        <v>3159.1899999999996</v>
      </c>
      <c r="L38" s="18">
        <f t="shared" si="15"/>
        <v>0</v>
      </c>
      <c r="M38" s="18">
        <f t="shared" si="15"/>
        <v>0</v>
      </c>
      <c r="N38" s="18">
        <f t="shared" si="15"/>
        <v>3700</v>
      </c>
      <c r="O38" s="18">
        <f t="shared" si="15"/>
        <v>3700</v>
      </c>
      <c r="P38" s="18">
        <f t="shared" si="15"/>
        <v>0</v>
      </c>
      <c r="Q38" s="18">
        <f t="shared" si="15"/>
        <v>0</v>
      </c>
      <c r="R38" s="18">
        <f t="shared" si="15"/>
        <v>3700</v>
      </c>
      <c r="S38" s="18">
        <f t="shared" si="15"/>
        <v>3700</v>
      </c>
      <c r="T38" s="18">
        <f t="shared" si="15"/>
        <v>0</v>
      </c>
      <c r="U38" s="18">
        <f t="shared" si="15"/>
        <v>0</v>
      </c>
      <c r="V38" s="42">
        <f t="shared" si="2"/>
        <v>0.85383513513513498</v>
      </c>
    </row>
    <row r="39" spans="1:22" ht="16.5">
      <c r="A39" s="15"/>
      <c r="B39" s="23" t="s">
        <v>23</v>
      </c>
      <c r="C39" s="20"/>
      <c r="D39" s="24"/>
      <c r="E39" s="20"/>
      <c r="F39" s="21"/>
      <c r="G39" s="21"/>
      <c r="H39" s="21"/>
      <c r="I39" s="21"/>
      <c r="J39" s="22"/>
      <c r="K39" s="22"/>
      <c r="L39" s="22"/>
      <c r="M39" s="22"/>
      <c r="N39" s="21"/>
      <c r="O39" s="21"/>
      <c r="P39" s="21"/>
      <c r="Q39" s="21"/>
      <c r="R39" s="21"/>
      <c r="S39" s="21"/>
      <c r="T39" s="21"/>
      <c r="U39" s="21"/>
      <c r="V39" s="43"/>
    </row>
    <row r="40" spans="1:22" ht="99">
      <c r="A40" s="15"/>
      <c r="B40" s="23" t="s">
        <v>74</v>
      </c>
      <c r="C40" s="20">
        <v>811</v>
      </c>
      <c r="D40" s="24" t="s">
        <v>31</v>
      </c>
      <c r="E40" s="20" t="s">
        <v>75</v>
      </c>
      <c r="F40" s="21">
        <f>G40</f>
        <v>3700</v>
      </c>
      <c r="G40" s="21">
        <v>3700</v>
      </c>
      <c r="H40" s="21"/>
      <c r="I40" s="21"/>
      <c r="J40" s="22">
        <f>K40+L40+M40</f>
        <v>3159.1899999999996</v>
      </c>
      <c r="K40" s="22">
        <f>2978.97+180.22</f>
        <v>3159.1899999999996</v>
      </c>
      <c r="L40" s="22"/>
      <c r="M40" s="22"/>
      <c r="N40" s="21">
        <f>O40</f>
        <v>3700</v>
      </c>
      <c r="O40" s="21">
        <v>3700</v>
      </c>
      <c r="P40" s="21"/>
      <c r="Q40" s="21"/>
      <c r="R40" s="21">
        <f>S40</f>
        <v>3700</v>
      </c>
      <c r="S40" s="21">
        <v>3700</v>
      </c>
      <c r="T40" s="21"/>
      <c r="U40" s="21"/>
      <c r="V40" s="43">
        <f t="shared" si="2"/>
        <v>0.85383513513513498</v>
      </c>
    </row>
    <row r="41" spans="1:22" ht="16.5">
      <c r="A41" s="11" t="s">
        <v>76</v>
      </c>
      <c r="B41" s="12" t="s">
        <v>77</v>
      </c>
      <c r="C41" s="13" t="s">
        <v>20</v>
      </c>
      <c r="D41" s="13" t="s">
        <v>20</v>
      </c>
      <c r="E41" s="13" t="s">
        <v>20</v>
      </c>
      <c r="F41" s="14">
        <f t="shared" ref="F41:U41" si="16">F42+F50+F54+F58+F62</f>
        <v>1216123.5</v>
      </c>
      <c r="G41" s="14">
        <f t="shared" si="16"/>
        <v>266674</v>
      </c>
      <c r="H41" s="14">
        <f t="shared" si="16"/>
        <v>949449.5</v>
      </c>
      <c r="I41" s="14">
        <f t="shared" si="16"/>
        <v>0</v>
      </c>
      <c r="J41" s="14">
        <f t="shared" si="16"/>
        <v>350833.65</v>
      </c>
      <c r="K41" s="14">
        <f t="shared" si="16"/>
        <v>98902.99</v>
      </c>
      <c r="L41" s="14">
        <f t="shared" si="16"/>
        <v>251930.66</v>
      </c>
      <c r="M41" s="14">
        <f t="shared" si="16"/>
        <v>0</v>
      </c>
      <c r="N41" s="14">
        <f t="shared" si="16"/>
        <v>2352589.6</v>
      </c>
      <c r="O41" s="14">
        <f t="shared" si="16"/>
        <v>344334.8</v>
      </c>
      <c r="P41" s="14">
        <f t="shared" si="16"/>
        <v>2008254.8</v>
      </c>
      <c r="Q41" s="14">
        <f t="shared" si="16"/>
        <v>0</v>
      </c>
      <c r="R41" s="14">
        <f t="shared" si="16"/>
        <v>3043130.4999999995</v>
      </c>
      <c r="S41" s="14">
        <f t="shared" si="16"/>
        <v>629368.4</v>
      </c>
      <c r="T41" s="14">
        <f t="shared" si="16"/>
        <v>2413762.1</v>
      </c>
      <c r="U41" s="14">
        <f t="shared" si="16"/>
        <v>0</v>
      </c>
      <c r="V41" s="41">
        <f t="shared" si="2"/>
        <v>0.28848521552293005</v>
      </c>
    </row>
    <row r="42" spans="1:22" ht="49.5">
      <c r="A42" s="6" t="s">
        <v>78</v>
      </c>
      <c r="B42" s="26" t="s">
        <v>79</v>
      </c>
      <c r="C42" s="17" t="s">
        <v>20</v>
      </c>
      <c r="D42" s="17" t="s">
        <v>20</v>
      </c>
      <c r="E42" s="17" t="s">
        <v>20</v>
      </c>
      <c r="F42" s="18">
        <f>F44+F45+F46+F47+F48+F49</f>
        <v>282225.8</v>
      </c>
      <c r="G42" s="18">
        <f t="shared" ref="G42:U42" si="17">G44+G45+G46+G47+G48+G49</f>
        <v>135045</v>
      </c>
      <c r="H42" s="18">
        <f t="shared" si="17"/>
        <v>147180.79999999999</v>
      </c>
      <c r="I42" s="18">
        <f t="shared" si="17"/>
        <v>0</v>
      </c>
      <c r="J42" s="18">
        <f>J44+J45+J46+J47+J48+J49</f>
        <v>210219.81</v>
      </c>
      <c r="K42" s="18">
        <f t="shared" ref="K42:L42" si="18">K44+K45+K46+K47+K48+K49</f>
        <v>81346.010000000009</v>
      </c>
      <c r="L42" s="18">
        <f t="shared" si="18"/>
        <v>128873.8</v>
      </c>
      <c r="M42" s="18">
        <f t="shared" si="17"/>
        <v>0</v>
      </c>
      <c r="N42" s="18">
        <f t="shared" si="17"/>
        <v>198221.5</v>
      </c>
      <c r="O42" s="18">
        <f t="shared" si="17"/>
        <v>90100</v>
      </c>
      <c r="P42" s="18">
        <f t="shared" si="17"/>
        <v>108121.5</v>
      </c>
      <c r="Q42" s="18">
        <f t="shared" si="17"/>
        <v>0</v>
      </c>
      <c r="R42" s="18">
        <f t="shared" si="17"/>
        <v>263859.3</v>
      </c>
      <c r="S42" s="18">
        <f t="shared" si="17"/>
        <v>96000</v>
      </c>
      <c r="T42" s="18">
        <f t="shared" si="17"/>
        <v>167859.3</v>
      </c>
      <c r="U42" s="18">
        <f t="shared" si="17"/>
        <v>0</v>
      </c>
      <c r="V42" s="42">
        <f t="shared" si="2"/>
        <v>0.7448638997568614</v>
      </c>
    </row>
    <row r="43" spans="1:22" ht="16.5">
      <c r="A43" s="8"/>
      <c r="B43" s="27" t="s">
        <v>23</v>
      </c>
      <c r="C43" s="20"/>
      <c r="D43" s="20"/>
      <c r="E43" s="20"/>
      <c r="F43" s="21"/>
      <c r="G43" s="21"/>
      <c r="H43" s="21"/>
      <c r="I43" s="21"/>
      <c r="J43" s="22"/>
      <c r="K43" s="22"/>
      <c r="L43" s="22"/>
      <c r="M43" s="22"/>
      <c r="N43" s="21"/>
      <c r="O43" s="21"/>
      <c r="P43" s="21"/>
      <c r="Q43" s="21"/>
      <c r="R43" s="21"/>
      <c r="S43" s="21"/>
      <c r="T43" s="21"/>
      <c r="U43" s="21"/>
      <c r="V43" s="43"/>
    </row>
    <row r="44" spans="1:22" ht="82.5">
      <c r="A44" s="8" t="s">
        <v>24</v>
      </c>
      <c r="B44" s="28" t="s">
        <v>80</v>
      </c>
      <c r="C44" s="20">
        <v>811</v>
      </c>
      <c r="D44" s="24" t="s">
        <v>31</v>
      </c>
      <c r="E44" s="20" t="s">
        <v>81</v>
      </c>
      <c r="F44" s="21">
        <f t="shared" ref="F44:F49" si="19">G44+H44+I44</f>
        <v>0</v>
      </c>
      <c r="G44" s="21"/>
      <c r="H44" s="21"/>
      <c r="I44" s="21"/>
      <c r="J44" s="22"/>
      <c r="K44" s="22"/>
      <c r="L44" s="22"/>
      <c r="M44" s="22"/>
      <c r="N44" s="21">
        <f>O44+P44+Q44</f>
        <v>0</v>
      </c>
      <c r="O44" s="21"/>
      <c r="P44" s="21"/>
      <c r="Q44" s="21"/>
      <c r="R44" s="21">
        <f>S44+T44+U44</f>
        <v>65569</v>
      </c>
      <c r="S44" s="21"/>
      <c r="T44" s="21">
        <v>65569</v>
      </c>
      <c r="U44" s="21"/>
      <c r="V44" s="43"/>
    </row>
    <row r="45" spans="1:22" ht="82.5">
      <c r="A45" s="8" t="s">
        <v>24</v>
      </c>
      <c r="B45" s="28" t="s">
        <v>82</v>
      </c>
      <c r="C45" s="20">
        <v>811</v>
      </c>
      <c r="D45" s="24" t="s">
        <v>31</v>
      </c>
      <c r="E45" s="20" t="s">
        <v>83</v>
      </c>
      <c r="F45" s="21">
        <f t="shared" si="19"/>
        <v>21521</v>
      </c>
      <c r="G45" s="21"/>
      <c r="H45" s="21">
        <v>21521</v>
      </c>
      <c r="I45" s="21"/>
      <c r="J45" s="22">
        <f>K45+L45</f>
        <v>3214</v>
      </c>
      <c r="K45" s="22"/>
      <c r="L45" s="22">
        <v>3214</v>
      </c>
      <c r="M45" s="22"/>
      <c r="N45" s="21">
        <f t="shared" ref="N45:N46" si="20">O45+P45+Q45</f>
        <v>0</v>
      </c>
      <c r="O45" s="21"/>
      <c r="P45" s="21"/>
      <c r="Q45" s="21"/>
      <c r="R45" s="21">
        <f t="shared" ref="R45:R46" si="21">S45+T45+U45</f>
        <v>0</v>
      </c>
      <c r="S45" s="21"/>
      <c r="T45" s="21"/>
      <c r="U45" s="21"/>
      <c r="V45" s="43">
        <f t="shared" si="2"/>
        <v>0.14934250267180893</v>
      </c>
    </row>
    <row r="46" spans="1:22" ht="66">
      <c r="A46" s="8" t="s">
        <v>35</v>
      </c>
      <c r="B46" s="28" t="s">
        <v>84</v>
      </c>
      <c r="C46" s="20">
        <v>811</v>
      </c>
      <c r="D46" s="24" t="s">
        <v>31</v>
      </c>
      <c r="E46" s="20" t="s">
        <v>85</v>
      </c>
      <c r="F46" s="21">
        <f t="shared" si="19"/>
        <v>150000</v>
      </c>
      <c r="G46" s="21">
        <v>24340.2</v>
      </c>
      <c r="H46" s="21">
        <v>125659.8</v>
      </c>
      <c r="I46" s="21"/>
      <c r="J46" s="22">
        <f>K46+L46+M46</f>
        <v>150000</v>
      </c>
      <c r="K46" s="22">
        <f>17286.95+3786.25+3267</f>
        <v>24340.2</v>
      </c>
      <c r="L46" s="22">
        <f>89246.38+19547.08+16866.34</f>
        <v>125659.8</v>
      </c>
      <c r="M46" s="22"/>
      <c r="N46" s="21">
        <f t="shared" si="20"/>
        <v>150000</v>
      </c>
      <c r="O46" s="21">
        <v>41878.5</v>
      </c>
      <c r="P46" s="21">
        <v>108121.5</v>
      </c>
      <c r="Q46" s="21"/>
      <c r="R46" s="21">
        <f t="shared" si="21"/>
        <v>150000</v>
      </c>
      <c r="S46" s="21">
        <v>47709.7</v>
      </c>
      <c r="T46" s="21">
        <v>102290.3</v>
      </c>
      <c r="U46" s="21"/>
      <c r="V46" s="43">
        <f t="shared" si="2"/>
        <v>1</v>
      </c>
    </row>
    <row r="47" spans="1:22" ht="49.5">
      <c r="A47" s="25"/>
      <c r="B47" s="23" t="s">
        <v>86</v>
      </c>
      <c r="C47" s="29">
        <v>811</v>
      </c>
      <c r="D47" s="24" t="s">
        <v>31</v>
      </c>
      <c r="E47" s="20" t="s">
        <v>87</v>
      </c>
      <c r="F47" s="21">
        <f t="shared" si="19"/>
        <v>6000</v>
      </c>
      <c r="G47" s="21">
        <v>6000</v>
      </c>
      <c r="H47" s="21"/>
      <c r="I47" s="21"/>
      <c r="J47" s="22">
        <f>K47</f>
        <v>4186.01</v>
      </c>
      <c r="K47" s="22">
        <f>2600.76+845.47+739.78</f>
        <v>4186.01</v>
      </c>
      <c r="L47" s="22"/>
      <c r="M47" s="22"/>
      <c r="N47" s="21">
        <f>O47+P47+Q47</f>
        <v>6000</v>
      </c>
      <c r="O47" s="21">
        <v>6000</v>
      </c>
      <c r="P47" s="21"/>
      <c r="Q47" s="21"/>
      <c r="R47" s="21">
        <f>S47+T47+U47</f>
        <v>6000</v>
      </c>
      <c r="S47" s="21">
        <v>6000</v>
      </c>
      <c r="T47" s="21"/>
      <c r="U47" s="21"/>
      <c r="V47" s="43">
        <f t="shared" si="2"/>
        <v>0.69766833333333333</v>
      </c>
    </row>
    <row r="48" spans="1:22" ht="49.5">
      <c r="A48" s="8"/>
      <c r="B48" s="28" t="s">
        <v>88</v>
      </c>
      <c r="C48" s="20">
        <v>811</v>
      </c>
      <c r="D48" s="24" t="s">
        <v>31</v>
      </c>
      <c r="E48" s="20" t="s">
        <v>89</v>
      </c>
      <c r="F48" s="21">
        <f t="shared" si="19"/>
        <v>102804.8</v>
      </c>
      <c r="G48" s="21">
        <f>52059.8+50745</f>
        <v>102804.8</v>
      </c>
      <c r="H48" s="21"/>
      <c r="I48" s="21"/>
      <c r="J48" s="22">
        <f>K48+L48</f>
        <v>52059.8</v>
      </c>
      <c r="K48" s="22">
        <f>52059.8</f>
        <v>52059.8</v>
      </c>
      <c r="L48" s="22"/>
      <c r="M48" s="22"/>
      <c r="N48" s="21">
        <f>O48+P48+Q48</f>
        <v>40321.5</v>
      </c>
      <c r="O48" s="21">
        <v>40321.5</v>
      </c>
      <c r="P48" s="21"/>
      <c r="Q48" s="21"/>
      <c r="R48" s="21">
        <f>S48+T48+U48</f>
        <v>40390.300000000003</v>
      </c>
      <c r="S48" s="21">
        <v>40390.300000000003</v>
      </c>
      <c r="T48" s="21"/>
      <c r="U48" s="21"/>
      <c r="V48" s="43">
        <f t="shared" si="2"/>
        <v>0.50639464305168636</v>
      </c>
    </row>
    <row r="49" spans="1:22" ht="82.5">
      <c r="A49" s="8"/>
      <c r="B49" s="28" t="s">
        <v>90</v>
      </c>
      <c r="C49" s="20">
        <v>811</v>
      </c>
      <c r="D49" s="24" t="s">
        <v>31</v>
      </c>
      <c r="E49" s="20" t="s">
        <v>91</v>
      </c>
      <c r="F49" s="21">
        <f t="shared" si="19"/>
        <v>1900</v>
      </c>
      <c r="G49" s="21">
        <v>1900</v>
      </c>
      <c r="H49" s="21"/>
      <c r="I49" s="21"/>
      <c r="J49" s="22">
        <f>K49</f>
        <v>760</v>
      </c>
      <c r="K49" s="22">
        <f>380+380</f>
        <v>760</v>
      </c>
      <c r="L49" s="22"/>
      <c r="M49" s="22"/>
      <c r="N49" s="21">
        <f>O49+P49+Q49</f>
        <v>1900</v>
      </c>
      <c r="O49" s="21">
        <v>1900</v>
      </c>
      <c r="P49" s="21"/>
      <c r="Q49" s="21"/>
      <c r="R49" s="21">
        <f>S49+T49+U49</f>
        <v>1900</v>
      </c>
      <c r="S49" s="21">
        <v>1900</v>
      </c>
      <c r="T49" s="21"/>
      <c r="U49" s="21"/>
      <c r="V49" s="43">
        <f t="shared" si="2"/>
        <v>0.4</v>
      </c>
    </row>
    <row r="50" spans="1:22" ht="33">
      <c r="A50" s="6" t="s">
        <v>92</v>
      </c>
      <c r="B50" s="26" t="s">
        <v>93</v>
      </c>
      <c r="C50" s="17" t="s">
        <v>20</v>
      </c>
      <c r="D50" s="17" t="s">
        <v>20</v>
      </c>
      <c r="E50" s="17" t="s">
        <v>20</v>
      </c>
      <c r="F50" s="18">
        <f t="shared" ref="F50:U50" si="22">F52+F53</f>
        <v>80052.5</v>
      </c>
      <c r="G50" s="18">
        <f t="shared" si="22"/>
        <v>5500</v>
      </c>
      <c r="H50" s="18">
        <f t="shared" si="22"/>
        <v>74552.5</v>
      </c>
      <c r="I50" s="18">
        <f t="shared" si="22"/>
        <v>0</v>
      </c>
      <c r="J50" s="18">
        <f t="shared" si="22"/>
        <v>10630.099999999999</v>
      </c>
      <c r="K50" s="18">
        <f t="shared" si="22"/>
        <v>4113.0999999999995</v>
      </c>
      <c r="L50" s="18">
        <f t="shared" si="22"/>
        <v>6517</v>
      </c>
      <c r="M50" s="18">
        <f t="shared" si="22"/>
        <v>0</v>
      </c>
      <c r="N50" s="18">
        <f t="shared" si="22"/>
        <v>90539.4</v>
      </c>
      <c r="O50" s="18">
        <f t="shared" si="22"/>
        <v>5500</v>
      </c>
      <c r="P50" s="18">
        <f t="shared" si="22"/>
        <v>85039.4</v>
      </c>
      <c r="Q50" s="18">
        <f t="shared" si="22"/>
        <v>0</v>
      </c>
      <c r="R50" s="18">
        <f t="shared" si="22"/>
        <v>71706.899999999994</v>
      </c>
      <c r="S50" s="18">
        <f t="shared" si="22"/>
        <v>5500</v>
      </c>
      <c r="T50" s="18">
        <f t="shared" si="22"/>
        <v>66206.899999999994</v>
      </c>
      <c r="U50" s="18">
        <f t="shared" si="22"/>
        <v>0</v>
      </c>
      <c r="V50" s="42">
        <f t="shared" si="2"/>
        <v>0.13278910714843381</v>
      </c>
    </row>
    <row r="51" spans="1:22" ht="16.5">
      <c r="A51" s="8"/>
      <c r="B51" s="27" t="s">
        <v>23</v>
      </c>
      <c r="C51" s="20"/>
      <c r="D51" s="20"/>
      <c r="E51" s="20"/>
      <c r="F51" s="21"/>
      <c r="G51" s="21"/>
      <c r="H51" s="21"/>
      <c r="I51" s="21"/>
      <c r="J51" s="22"/>
      <c r="K51" s="22"/>
      <c r="L51" s="22"/>
      <c r="M51" s="22"/>
      <c r="N51" s="21"/>
      <c r="O51" s="21"/>
      <c r="P51" s="21"/>
      <c r="Q51" s="21"/>
      <c r="R51" s="21"/>
      <c r="S51" s="21"/>
      <c r="T51" s="21"/>
      <c r="U51" s="21"/>
      <c r="V51" s="43"/>
    </row>
    <row r="52" spans="1:22" ht="49.5">
      <c r="A52" s="8" t="s">
        <v>24</v>
      </c>
      <c r="B52" s="28" t="s">
        <v>94</v>
      </c>
      <c r="C52" s="20">
        <v>811</v>
      </c>
      <c r="D52" s="24" t="s">
        <v>31</v>
      </c>
      <c r="E52" s="20" t="s">
        <v>95</v>
      </c>
      <c r="F52" s="21">
        <f>G52+H52+I52</f>
        <v>74552.5</v>
      </c>
      <c r="G52" s="21"/>
      <c r="H52" s="21">
        <v>74552.5</v>
      </c>
      <c r="I52" s="21"/>
      <c r="J52" s="22">
        <f>L52</f>
        <v>6517</v>
      </c>
      <c r="K52" s="22"/>
      <c r="L52" s="22">
        <v>6517</v>
      </c>
      <c r="M52" s="22"/>
      <c r="N52" s="21">
        <f>O52+P52+Q52</f>
        <v>85039.4</v>
      </c>
      <c r="O52" s="21"/>
      <c r="P52" s="21">
        <v>85039.4</v>
      </c>
      <c r="Q52" s="21"/>
      <c r="R52" s="21">
        <f>S52+T52+U52</f>
        <v>66206.899999999994</v>
      </c>
      <c r="S52" s="21"/>
      <c r="T52" s="21">
        <v>66206.899999999994</v>
      </c>
      <c r="U52" s="21"/>
      <c r="V52" s="43">
        <f t="shared" si="2"/>
        <v>8.7414908956775422E-2</v>
      </c>
    </row>
    <row r="53" spans="1:22" ht="66">
      <c r="A53" s="25"/>
      <c r="B53" s="23" t="s">
        <v>96</v>
      </c>
      <c r="C53" s="29">
        <v>811</v>
      </c>
      <c r="D53" s="30" t="s">
        <v>31</v>
      </c>
      <c r="E53" s="20" t="s">
        <v>97</v>
      </c>
      <c r="F53" s="21">
        <f>G53+H53+I53</f>
        <v>5500</v>
      </c>
      <c r="G53" s="21">
        <v>5500</v>
      </c>
      <c r="H53" s="21"/>
      <c r="I53" s="21"/>
      <c r="J53" s="22">
        <f>K53</f>
        <v>4113.0999999999995</v>
      </c>
      <c r="K53" s="22">
        <f>3140.46+518.74+453.9</f>
        <v>4113.0999999999995</v>
      </c>
      <c r="L53" s="22"/>
      <c r="M53" s="22"/>
      <c r="N53" s="21">
        <f>O53+P53+Q53</f>
        <v>5500</v>
      </c>
      <c r="O53" s="21">
        <v>5500</v>
      </c>
      <c r="P53" s="21"/>
      <c r="Q53" s="21"/>
      <c r="R53" s="21">
        <f>S53+T53+U53</f>
        <v>5500</v>
      </c>
      <c r="S53" s="21">
        <v>5500</v>
      </c>
      <c r="T53" s="21"/>
      <c r="U53" s="21"/>
      <c r="V53" s="43">
        <f t="shared" si="2"/>
        <v>0.74783636363636352</v>
      </c>
    </row>
    <row r="54" spans="1:22" ht="66">
      <c r="A54" s="6" t="s">
        <v>98</v>
      </c>
      <c r="B54" s="26" t="s">
        <v>99</v>
      </c>
      <c r="C54" s="17" t="s">
        <v>20</v>
      </c>
      <c r="D54" s="17" t="s">
        <v>20</v>
      </c>
      <c r="E54" s="17" t="s">
        <v>20</v>
      </c>
      <c r="F54" s="18">
        <f>F56+F57</f>
        <v>106204.40000000001</v>
      </c>
      <c r="G54" s="18">
        <f t="shared" ref="G54:U54" si="23">G56+G57</f>
        <v>20129.8</v>
      </c>
      <c r="H54" s="18">
        <f t="shared" si="23"/>
        <v>86074.6</v>
      </c>
      <c r="I54" s="18">
        <f t="shared" si="23"/>
        <v>0</v>
      </c>
      <c r="J54" s="18">
        <f t="shared" si="23"/>
        <v>22569.940000000002</v>
      </c>
      <c r="K54" s="18">
        <f t="shared" si="23"/>
        <v>5278.43</v>
      </c>
      <c r="L54" s="18">
        <f t="shared" si="23"/>
        <v>17291.510000000002</v>
      </c>
      <c r="M54" s="18">
        <f t="shared" si="23"/>
        <v>0</v>
      </c>
      <c r="N54" s="18">
        <f t="shared" si="23"/>
        <v>107658.40000000001</v>
      </c>
      <c r="O54" s="18">
        <f t="shared" si="23"/>
        <v>20377</v>
      </c>
      <c r="P54" s="18">
        <f t="shared" si="23"/>
        <v>87281.400000000009</v>
      </c>
      <c r="Q54" s="18">
        <f t="shared" si="23"/>
        <v>0</v>
      </c>
      <c r="R54" s="18">
        <f t="shared" si="23"/>
        <v>2500</v>
      </c>
      <c r="S54" s="18">
        <f t="shared" si="23"/>
        <v>2500</v>
      </c>
      <c r="T54" s="18">
        <f t="shared" si="23"/>
        <v>0</v>
      </c>
      <c r="U54" s="18">
        <f t="shared" si="23"/>
        <v>0</v>
      </c>
      <c r="V54" s="42">
        <f t="shared" si="2"/>
        <v>0.21251417078765097</v>
      </c>
    </row>
    <row r="55" spans="1:22" ht="16.5">
      <c r="A55" s="8"/>
      <c r="B55" s="27" t="s">
        <v>23</v>
      </c>
      <c r="C55" s="20"/>
      <c r="D55" s="20"/>
      <c r="E55" s="20"/>
      <c r="F55" s="21"/>
      <c r="G55" s="21"/>
      <c r="H55" s="21"/>
      <c r="I55" s="21"/>
      <c r="J55" s="22"/>
      <c r="K55" s="22"/>
      <c r="L55" s="22"/>
      <c r="M55" s="22"/>
      <c r="N55" s="21"/>
      <c r="O55" s="21"/>
      <c r="P55" s="21"/>
      <c r="Q55" s="21"/>
      <c r="R55" s="21"/>
      <c r="S55" s="21"/>
      <c r="T55" s="21"/>
      <c r="U55" s="21"/>
      <c r="V55" s="43"/>
    </row>
    <row r="56" spans="1:22" ht="82.5">
      <c r="A56" s="8" t="s">
        <v>35</v>
      </c>
      <c r="B56" s="28" t="s">
        <v>100</v>
      </c>
      <c r="C56" s="20">
        <v>811</v>
      </c>
      <c r="D56" s="24" t="s">
        <v>31</v>
      </c>
      <c r="E56" s="20" t="s">
        <v>101</v>
      </c>
      <c r="F56" s="21">
        <f>G56+H56+I56</f>
        <v>103704.40000000001</v>
      </c>
      <c r="G56" s="21">
        <f>17629.8+102.1873-102.1873</f>
        <v>17629.8</v>
      </c>
      <c r="H56" s="21">
        <f>86074.6+498.9127-498.9127</f>
        <v>86074.6</v>
      </c>
      <c r="I56" s="21"/>
      <c r="J56" s="22">
        <f>K56+L56</f>
        <v>20833.150000000001</v>
      </c>
      <c r="K56" s="22">
        <f>1355.96+910.68+1275</f>
        <v>3541.64</v>
      </c>
      <c r="L56" s="22">
        <f>6620.25+4446.26+6225</f>
        <v>17291.510000000002</v>
      </c>
      <c r="M56" s="22"/>
      <c r="N56" s="21">
        <f>O56+P56+Q56</f>
        <v>105158.40000000001</v>
      </c>
      <c r="O56" s="21">
        <f>17629.8+247.2</f>
        <v>17877</v>
      </c>
      <c r="P56" s="21">
        <f>86074.6+1206.8</f>
        <v>87281.400000000009</v>
      </c>
      <c r="Q56" s="21"/>
      <c r="R56" s="21">
        <f>S56+T56+U56</f>
        <v>0</v>
      </c>
      <c r="S56" s="21"/>
      <c r="T56" s="21"/>
      <c r="U56" s="21"/>
      <c r="V56" s="43">
        <f t="shared" si="2"/>
        <v>0.20088974045459981</v>
      </c>
    </row>
    <row r="57" spans="1:22" ht="49.5">
      <c r="A57" s="25"/>
      <c r="B57" s="23" t="s">
        <v>102</v>
      </c>
      <c r="C57" s="20">
        <v>811</v>
      </c>
      <c r="D57" s="24" t="s">
        <v>31</v>
      </c>
      <c r="E57" s="20" t="s">
        <v>103</v>
      </c>
      <c r="F57" s="21">
        <f>G57+H57+I57</f>
        <v>2500</v>
      </c>
      <c r="G57" s="21">
        <v>2500</v>
      </c>
      <c r="H57" s="21"/>
      <c r="I57" s="21"/>
      <c r="J57" s="22">
        <f>K57</f>
        <v>1736.79</v>
      </c>
      <c r="K57" s="22">
        <f>1294.68+235.79+206.32</f>
        <v>1736.79</v>
      </c>
      <c r="L57" s="22"/>
      <c r="M57" s="22"/>
      <c r="N57" s="21">
        <f>O57+P57+Q57</f>
        <v>2500</v>
      </c>
      <c r="O57" s="21">
        <v>2500</v>
      </c>
      <c r="P57" s="21"/>
      <c r="Q57" s="21"/>
      <c r="R57" s="21">
        <f>S57+T57+U57</f>
        <v>2500</v>
      </c>
      <c r="S57" s="21">
        <v>2500</v>
      </c>
      <c r="T57" s="21"/>
      <c r="U57" s="21"/>
      <c r="V57" s="43">
        <f t="shared" si="2"/>
        <v>0.694716</v>
      </c>
    </row>
    <row r="58" spans="1:22" ht="82.5">
      <c r="A58" s="6" t="s">
        <v>104</v>
      </c>
      <c r="B58" s="26" t="s">
        <v>105</v>
      </c>
      <c r="C58" s="17" t="s">
        <v>20</v>
      </c>
      <c r="D58" s="17" t="s">
        <v>20</v>
      </c>
      <c r="E58" s="17" t="s">
        <v>20</v>
      </c>
      <c r="F58" s="18">
        <f>F60+F61</f>
        <v>138662</v>
      </c>
      <c r="G58" s="18">
        <f t="shared" ref="G58:U58" si="24">G60+G61</f>
        <v>26290</v>
      </c>
      <c r="H58" s="18">
        <f t="shared" si="24"/>
        <v>112372</v>
      </c>
      <c r="I58" s="18">
        <f t="shared" si="24"/>
        <v>0</v>
      </c>
      <c r="J58" s="18">
        <f t="shared" si="24"/>
        <v>5000</v>
      </c>
      <c r="K58" s="18">
        <f t="shared" si="24"/>
        <v>5000</v>
      </c>
      <c r="L58" s="18">
        <f t="shared" si="24"/>
        <v>0</v>
      </c>
      <c r="M58" s="18">
        <f t="shared" si="24"/>
        <v>0</v>
      </c>
      <c r="N58" s="18">
        <f t="shared" si="24"/>
        <v>405713</v>
      </c>
      <c r="O58" s="18">
        <f t="shared" si="24"/>
        <v>26290</v>
      </c>
      <c r="P58" s="18">
        <f t="shared" si="24"/>
        <v>379423</v>
      </c>
      <c r="Q58" s="18">
        <f t="shared" si="24"/>
        <v>0</v>
      </c>
      <c r="R58" s="18">
        <f t="shared" si="24"/>
        <v>132395.1</v>
      </c>
      <c r="S58" s="18">
        <f t="shared" si="24"/>
        <v>26290</v>
      </c>
      <c r="T58" s="18">
        <f t="shared" si="24"/>
        <v>106105.1</v>
      </c>
      <c r="U58" s="18">
        <f t="shared" si="24"/>
        <v>0</v>
      </c>
      <c r="V58" s="42">
        <f t="shared" si="2"/>
        <v>3.6058905828561541E-2</v>
      </c>
    </row>
    <row r="59" spans="1:22" ht="16.5">
      <c r="A59" s="8"/>
      <c r="B59" s="27" t="s">
        <v>23</v>
      </c>
      <c r="C59" s="20"/>
      <c r="D59" s="20"/>
      <c r="E59" s="20"/>
      <c r="F59" s="21"/>
      <c r="G59" s="21"/>
      <c r="H59" s="21"/>
      <c r="I59" s="21"/>
      <c r="J59" s="22"/>
      <c r="K59" s="22"/>
      <c r="L59" s="22"/>
      <c r="M59" s="22"/>
      <c r="N59" s="21"/>
      <c r="O59" s="21"/>
      <c r="P59" s="21"/>
      <c r="Q59" s="21"/>
      <c r="R59" s="21"/>
      <c r="S59" s="21"/>
      <c r="T59" s="21"/>
      <c r="U59" s="21"/>
      <c r="V59" s="43"/>
    </row>
    <row r="60" spans="1:22" ht="82.5">
      <c r="A60" s="8" t="s">
        <v>35</v>
      </c>
      <c r="B60" s="28" t="s">
        <v>106</v>
      </c>
      <c r="C60" s="20">
        <v>811</v>
      </c>
      <c r="D60" s="24" t="s">
        <v>31</v>
      </c>
      <c r="E60" s="20" t="s">
        <v>107</v>
      </c>
      <c r="F60" s="21">
        <f>G60+H60+I60</f>
        <v>130162</v>
      </c>
      <c r="G60" s="21">
        <v>17790</v>
      </c>
      <c r="H60" s="21">
        <v>112372</v>
      </c>
      <c r="I60" s="21"/>
      <c r="J60" s="21"/>
      <c r="K60" s="21"/>
      <c r="L60" s="21"/>
      <c r="M60" s="21"/>
      <c r="N60" s="21">
        <f>O60+P60+Q60</f>
        <v>397213</v>
      </c>
      <c r="O60" s="21">
        <v>17790</v>
      </c>
      <c r="P60" s="21">
        <v>379423</v>
      </c>
      <c r="Q60" s="21"/>
      <c r="R60" s="21">
        <f>S60+T60+U60</f>
        <v>123895.1</v>
      </c>
      <c r="S60" s="21">
        <v>17790</v>
      </c>
      <c r="T60" s="21">
        <v>106105.1</v>
      </c>
      <c r="U60" s="21"/>
      <c r="V60" s="43">
        <f t="shared" si="2"/>
        <v>0</v>
      </c>
    </row>
    <row r="61" spans="1:22" ht="66">
      <c r="A61" s="8"/>
      <c r="B61" s="28" t="s">
        <v>108</v>
      </c>
      <c r="C61" s="20">
        <v>811</v>
      </c>
      <c r="D61" s="24" t="s">
        <v>31</v>
      </c>
      <c r="E61" s="20" t="s">
        <v>109</v>
      </c>
      <c r="F61" s="21">
        <f>G61+H61+I61</f>
        <v>8500</v>
      </c>
      <c r="G61" s="21">
        <v>8500</v>
      </c>
      <c r="H61" s="21"/>
      <c r="I61" s="21"/>
      <c r="J61" s="22">
        <f>K61</f>
        <v>5000</v>
      </c>
      <c r="K61" s="22">
        <f>4400+200+400</f>
        <v>5000</v>
      </c>
      <c r="L61" s="22"/>
      <c r="M61" s="22"/>
      <c r="N61" s="21">
        <f>O61+P61+Q61</f>
        <v>8500</v>
      </c>
      <c r="O61" s="21">
        <v>8500</v>
      </c>
      <c r="P61" s="21"/>
      <c r="Q61" s="21"/>
      <c r="R61" s="21">
        <f>S61+T61+U61</f>
        <v>8500</v>
      </c>
      <c r="S61" s="21">
        <v>8500</v>
      </c>
      <c r="T61" s="21"/>
      <c r="U61" s="21"/>
      <c r="V61" s="43">
        <f t="shared" si="2"/>
        <v>0.58823529411764708</v>
      </c>
    </row>
    <row r="62" spans="1:22" ht="33">
      <c r="A62" s="6" t="s">
        <v>110</v>
      </c>
      <c r="B62" s="26" t="s">
        <v>111</v>
      </c>
      <c r="C62" s="17" t="s">
        <v>20</v>
      </c>
      <c r="D62" s="17" t="s">
        <v>20</v>
      </c>
      <c r="E62" s="17" t="s">
        <v>20</v>
      </c>
      <c r="F62" s="18">
        <f>F64+F65+F66</f>
        <v>608978.80000000005</v>
      </c>
      <c r="G62" s="18">
        <f t="shared" ref="G62:U62" si="25">G64+G65+G66</f>
        <v>79709.2</v>
      </c>
      <c r="H62" s="18">
        <f t="shared" si="25"/>
        <v>529269.6</v>
      </c>
      <c r="I62" s="18">
        <f t="shared" si="25"/>
        <v>0</v>
      </c>
      <c r="J62" s="18">
        <f>J64+J65+J66</f>
        <v>102413.8</v>
      </c>
      <c r="K62" s="18">
        <f t="shared" ref="K62:L62" si="26">K64+K65+K66</f>
        <v>3165.45</v>
      </c>
      <c r="L62" s="18">
        <f t="shared" si="26"/>
        <v>99248.35</v>
      </c>
      <c r="M62" s="18">
        <f t="shared" si="25"/>
        <v>0</v>
      </c>
      <c r="N62" s="18">
        <f t="shared" si="25"/>
        <v>1550457.3</v>
      </c>
      <c r="O62" s="18">
        <f t="shared" si="25"/>
        <v>202067.8</v>
      </c>
      <c r="P62" s="18">
        <f t="shared" si="25"/>
        <v>1348389.5</v>
      </c>
      <c r="Q62" s="18">
        <f t="shared" si="25"/>
        <v>0</v>
      </c>
      <c r="R62" s="18">
        <f t="shared" si="25"/>
        <v>2572669.1999999997</v>
      </c>
      <c r="S62" s="18">
        <f t="shared" si="25"/>
        <v>499078.40000000002</v>
      </c>
      <c r="T62" s="18">
        <f t="shared" si="25"/>
        <v>2073590.8</v>
      </c>
      <c r="U62" s="18">
        <f t="shared" si="25"/>
        <v>0</v>
      </c>
      <c r="V62" s="42">
        <f t="shared" si="2"/>
        <v>0.16817301357617045</v>
      </c>
    </row>
    <row r="63" spans="1:22" ht="16.5">
      <c r="A63" s="8"/>
      <c r="B63" s="27" t="s">
        <v>23</v>
      </c>
      <c r="C63" s="20"/>
      <c r="D63" s="20"/>
      <c r="E63" s="20"/>
      <c r="F63" s="21"/>
      <c r="G63" s="21"/>
      <c r="H63" s="21"/>
      <c r="I63" s="21"/>
      <c r="J63" s="22"/>
      <c r="K63" s="22"/>
      <c r="L63" s="22"/>
      <c r="M63" s="22"/>
      <c r="N63" s="21"/>
      <c r="O63" s="21"/>
      <c r="P63" s="21"/>
      <c r="Q63" s="21"/>
      <c r="R63" s="21"/>
      <c r="S63" s="21"/>
      <c r="T63" s="21"/>
      <c r="U63" s="21"/>
      <c r="V63" s="43"/>
    </row>
    <row r="64" spans="1:22" ht="132">
      <c r="A64" s="6" t="s">
        <v>24</v>
      </c>
      <c r="B64" s="28" t="s">
        <v>112</v>
      </c>
      <c r="C64" s="20">
        <v>811</v>
      </c>
      <c r="D64" s="24" t="s">
        <v>31</v>
      </c>
      <c r="E64" s="20" t="s">
        <v>113</v>
      </c>
      <c r="F64" s="21">
        <f>G64+H64+I64</f>
        <v>223067.6</v>
      </c>
      <c r="G64" s="21"/>
      <c r="H64" s="21">
        <v>223067.6</v>
      </c>
      <c r="I64" s="21"/>
      <c r="J64" s="22">
        <f>L64</f>
        <v>84000</v>
      </c>
      <c r="K64" s="22"/>
      <c r="L64" s="22">
        <v>84000</v>
      </c>
      <c r="M64" s="22"/>
      <c r="N64" s="21">
        <f>O64+P64+Q64</f>
        <v>390904.5</v>
      </c>
      <c r="O64" s="21"/>
      <c r="P64" s="21">
        <v>390904.5</v>
      </c>
      <c r="Q64" s="21"/>
      <c r="R64" s="21">
        <f>S64+T64+U64</f>
        <v>158618.79999999999</v>
      </c>
      <c r="S64" s="21"/>
      <c r="T64" s="21">
        <v>158618.79999999999</v>
      </c>
      <c r="U64" s="21"/>
      <c r="V64" s="43">
        <f t="shared" si="2"/>
        <v>0.3765674620608282</v>
      </c>
    </row>
    <row r="65" spans="1:22" ht="99">
      <c r="A65" s="6" t="s">
        <v>35</v>
      </c>
      <c r="B65" s="28" t="s">
        <v>114</v>
      </c>
      <c r="C65" s="20">
        <v>811</v>
      </c>
      <c r="D65" s="24" t="s">
        <v>37</v>
      </c>
      <c r="E65" s="20" t="s">
        <v>115</v>
      </c>
      <c r="F65" s="21">
        <f>G65+H65+I65</f>
        <v>385911.2</v>
      </c>
      <c r="G65" s="21">
        <f>63565.4+16143.8</f>
        <v>79709.2</v>
      </c>
      <c r="H65" s="21">
        <v>306202</v>
      </c>
      <c r="I65" s="21"/>
      <c r="J65" s="22">
        <f>K65+L65</f>
        <v>18413.8</v>
      </c>
      <c r="K65" s="22">
        <v>3165.45</v>
      </c>
      <c r="L65" s="22">
        <v>15248.35</v>
      </c>
      <c r="M65" s="22"/>
      <c r="N65" s="21">
        <f>O65+P65+Q65</f>
        <v>1159552.8</v>
      </c>
      <c r="O65" s="21">
        <f>200254.9+1812.9</f>
        <v>202067.8</v>
      </c>
      <c r="P65" s="21">
        <v>957485</v>
      </c>
      <c r="Q65" s="21"/>
      <c r="R65" s="21">
        <f>S65+T65+U65</f>
        <v>2414050.4</v>
      </c>
      <c r="S65" s="21">
        <f>498971.2+107.2</f>
        <v>499078.40000000002</v>
      </c>
      <c r="T65" s="21">
        <v>1914972</v>
      </c>
      <c r="U65" s="21"/>
      <c r="V65" s="43">
        <f t="shared" si="2"/>
        <v>4.7715122028072779E-2</v>
      </c>
    </row>
    <row r="66" spans="1:22" ht="66">
      <c r="A66" s="6"/>
      <c r="B66" s="28" t="s">
        <v>116</v>
      </c>
      <c r="C66" s="20">
        <v>821</v>
      </c>
      <c r="D66" s="24" t="s">
        <v>37</v>
      </c>
      <c r="E66" s="20" t="s">
        <v>117</v>
      </c>
      <c r="F66" s="21">
        <f>G66+H66+I66</f>
        <v>0</v>
      </c>
      <c r="G66" s="21">
        <f>673-673</f>
        <v>0</v>
      </c>
      <c r="H66" s="21"/>
      <c r="I66" s="21"/>
      <c r="J66" s="22"/>
      <c r="K66" s="22"/>
      <c r="L66" s="22"/>
      <c r="M66" s="22"/>
      <c r="N66" s="21">
        <f>O66+P66+Q66</f>
        <v>0</v>
      </c>
      <c r="O66" s="21">
        <f>1812.9-1812.9</f>
        <v>0</v>
      </c>
      <c r="P66" s="21"/>
      <c r="Q66" s="21"/>
      <c r="R66" s="21">
        <f>S66+T66+U66</f>
        <v>0</v>
      </c>
      <c r="S66" s="21">
        <f>107.2-107.2</f>
        <v>0</v>
      </c>
      <c r="T66" s="21"/>
      <c r="U66" s="21"/>
      <c r="V66" s="43"/>
    </row>
    <row r="67" spans="1:22" ht="16.5">
      <c r="A67" s="11" t="s">
        <v>118</v>
      </c>
      <c r="B67" s="12" t="s">
        <v>119</v>
      </c>
      <c r="C67" s="13" t="s">
        <v>20</v>
      </c>
      <c r="D67" s="13" t="s">
        <v>20</v>
      </c>
      <c r="E67" s="13" t="s">
        <v>20</v>
      </c>
      <c r="F67" s="14">
        <f t="shared" ref="F67:U67" si="27">F68+F76+F82+F89+F100</f>
        <v>1518636.8602100001</v>
      </c>
      <c r="G67" s="14">
        <f t="shared" si="27"/>
        <v>817130.86020999996</v>
      </c>
      <c r="H67" s="14">
        <f t="shared" si="27"/>
        <v>662910.19999999995</v>
      </c>
      <c r="I67" s="14">
        <f t="shared" si="27"/>
        <v>38595.800000000003</v>
      </c>
      <c r="J67" s="14">
        <f t="shared" si="27"/>
        <v>1217649.04</v>
      </c>
      <c r="K67" s="14">
        <f t="shared" si="27"/>
        <v>752895.79</v>
      </c>
      <c r="L67" s="14">
        <f t="shared" si="27"/>
        <v>443421.05000000005</v>
      </c>
      <c r="M67" s="14">
        <f t="shared" si="27"/>
        <v>21345.5</v>
      </c>
      <c r="N67" s="14">
        <f t="shared" si="27"/>
        <v>1449830.5</v>
      </c>
      <c r="O67" s="14">
        <f t="shared" si="27"/>
        <v>1056266</v>
      </c>
      <c r="P67" s="14">
        <f t="shared" si="27"/>
        <v>393564.5</v>
      </c>
      <c r="Q67" s="14">
        <f t="shared" si="27"/>
        <v>0</v>
      </c>
      <c r="R67" s="14">
        <f t="shared" si="27"/>
        <v>755164.2</v>
      </c>
      <c r="S67" s="14">
        <f t="shared" si="27"/>
        <v>755164.2</v>
      </c>
      <c r="T67" s="14">
        <f t="shared" si="27"/>
        <v>0</v>
      </c>
      <c r="U67" s="14">
        <f t="shared" si="27"/>
        <v>0</v>
      </c>
      <c r="V67" s="41">
        <f t="shared" si="2"/>
        <v>0.80180395452249276</v>
      </c>
    </row>
    <row r="68" spans="1:22" ht="33">
      <c r="A68" s="15" t="s">
        <v>120</v>
      </c>
      <c r="B68" s="16" t="s">
        <v>121</v>
      </c>
      <c r="C68" s="17" t="s">
        <v>20</v>
      </c>
      <c r="D68" s="17" t="s">
        <v>20</v>
      </c>
      <c r="E68" s="17" t="s">
        <v>20</v>
      </c>
      <c r="F68" s="18">
        <f t="shared" ref="F68:Q68" si="28">F70+F71+F73+F75+F72</f>
        <v>1311841.8402100001</v>
      </c>
      <c r="G68" s="18">
        <f t="shared" si="28"/>
        <v>705896.04021000001</v>
      </c>
      <c r="H68" s="18">
        <f t="shared" si="28"/>
        <v>567363.30000000005</v>
      </c>
      <c r="I68" s="18">
        <f t="shared" si="28"/>
        <v>38582.5</v>
      </c>
      <c r="J68" s="18">
        <f t="shared" si="28"/>
        <v>1149516.6300000001</v>
      </c>
      <c r="K68" s="18">
        <f t="shared" si="28"/>
        <v>693143.57000000007</v>
      </c>
      <c r="L68" s="18">
        <f t="shared" si="28"/>
        <v>435040.86000000004</v>
      </c>
      <c r="M68" s="18">
        <f t="shared" si="28"/>
        <v>21332.2</v>
      </c>
      <c r="N68" s="18">
        <f t="shared" si="28"/>
        <v>1388710.5</v>
      </c>
      <c r="O68" s="18">
        <f t="shared" si="28"/>
        <v>995146</v>
      </c>
      <c r="P68" s="18">
        <f t="shared" si="28"/>
        <v>393564.5</v>
      </c>
      <c r="Q68" s="18">
        <f t="shared" si="28"/>
        <v>0</v>
      </c>
      <c r="R68" s="18">
        <f>R70+R71+R73+R75+R72+R74</f>
        <v>687844.2</v>
      </c>
      <c r="S68" s="18">
        <f t="shared" ref="S68:T68" si="29">S70+S71+S73+S75+S72+S74</f>
        <v>687844.2</v>
      </c>
      <c r="T68" s="18">
        <f t="shared" si="29"/>
        <v>0</v>
      </c>
      <c r="U68" s="18">
        <f>U70+U71+U73+U75+U72</f>
        <v>0</v>
      </c>
      <c r="V68" s="42">
        <f t="shared" si="2"/>
        <v>0.87626160011483178</v>
      </c>
    </row>
    <row r="69" spans="1:22" ht="16.5">
      <c r="A69" s="25"/>
      <c r="B69" s="19" t="s">
        <v>23</v>
      </c>
      <c r="C69" s="20"/>
      <c r="D69" s="20"/>
      <c r="E69" s="20"/>
      <c r="F69" s="21"/>
      <c r="G69" s="21"/>
      <c r="H69" s="21"/>
      <c r="I69" s="21"/>
      <c r="J69" s="22"/>
      <c r="K69" s="22"/>
      <c r="L69" s="22"/>
      <c r="M69" s="22"/>
      <c r="N69" s="21"/>
      <c r="O69" s="21"/>
      <c r="P69" s="21"/>
      <c r="Q69" s="21"/>
      <c r="R69" s="21"/>
      <c r="S69" s="21"/>
      <c r="T69" s="21"/>
      <c r="U69" s="21"/>
      <c r="V69" s="43"/>
    </row>
    <row r="70" spans="1:22" ht="66">
      <c r="A70" s="25" t="s">
        <v>35</v>
      </c>
      <c r="B70" s="23" t="s">
        <v>122</v>
      </c>
      <c r="C70" s="20">
        <v>815</v>
      </c>
      <c r="D70" s="24" t="s">
        <v>123</v>
      </c>
      <c r="E70" s="31" t="s">
        <v>124</v>
      </c>
      <c r="F70" s="21">
        <f>G70+H70+I70</f>
        <v>46409.3</v>
      </c>
      <c r="G70" s="21">
        <v>1392.3</v>
      </c>
      <c r="H70" s="21">
        <v>45017</v>
      </c>
      <c r="I70" s="21"/>
      <c r="J70" s="22">
        <f>K70+L70+M70</f>
        <v>9275.73</v>
      </c>
      <c r="K70" s="22">
        <v>278.27</v>
      </c>
      <c r="L70" s="22">
        <v>8997.4599999999991</v>
      </c>
      <c r="M70" s="22"/>
      <c r="N70" s="21">
        <f>O70+P70+Q70</f>
        <v>0</v>
      </c>
      <c r="O70" s="21"/>
      <c r="P70" s="21"/>
      <c r="Q70" s="21"/>
      <c r="R70" s="21">
        <f>S70+T70+U70</f>
        <v>0</v>
      </c>
      <c r="S70" s="21"/>
      <c r="T70" s="21"/>
      <c r="U70" s="21"/>
      <c r="V70" s="43">
        <f t="shared" si="2"/>
        <v>0.19986791440508689</v>
      </c>
    </row>
    <row r="71" spans="1:22" ht="66">
      <c r="A71" s="25" t="s">
        <v>35</v>
      </c>
      <c r="B71" s="23" t="s">
        <v>347</v>
      </c>
      <c r="C71" s="20">
        <v>821</v>
      </c>
      <c r="D71" s="24" t="s">
        <v>37</v>
      </c>
      <c r="E71" s="31" t="s">
        <v>125</v>
      </c>
      <c r="F71" s="21">
        <f t="shared" ref="F71" si="30">G71+H71+I71</f>
        <v>99281.340209999995</v>
      </c>
      <c r="G71" s="21">
        <v>2978.4402100000002</v>
      </c>
      <c r="H71" s="21">
        <v>96302.9</v>
      </c>
      <c r="I71" s="21"/>
      <c r="J71" s="22"/>
      <c r="K71" s="22"/>
      <c r="L71" s="22"/>
      <c r="M71" s="22"/>
      <c r="N71" s="21">
        <f t="shared" ref="N71:N73" si="31">O71+P71+Q71</f>
        <v>307301.8</v>
      </c>
      <c r="O71" s="21">
        <v>307301.8</v>
      </c>
      <c r="P71" s="21"/>
      <c r="Q71" s="21"/>
      <c r="R71" s="21">
        <f t="shared" ref="R71:R73" si="32">S71+T71+U71</f>
        <v>0</v>
      </c>
      <c r="S71" s="21"/>
      <c r="T71" s="21"/>
      <c r="U71" s="21"/>
      <c r="V71" s="43">
        <f t="shared" si="2"/>
        <v>0</v>
      </c>
    </row>
    <row r="72" spans="1:22" ht="66">
      <c r="A72" s="25"/>
      <c r="B72" s="23" t="s">
        <v>126</v>
      </c>
      <c r="C72" s="20">
        <v>815</v>
      </c>
      <c r="D72" s="24" t="s">
        <v>123</v>
      </c>
      <c r="E72" s="31" t="s">
        <v>125</v>
      </c>
      <c r="F72" s="21">
        <f>G72</f>
        <v>8660</v>
      </c>
      <c r="G72" s="21">
        <v>8660</v>
      </c>
      <c r="H72" s="21"/>
      <c r="I72" s="21"/>
      <c r="J72" s="22"/>
      <c r="K72" s="22"/>
      <c r="L72" s="22"/>
      <c r="M72" s="22"/>
      <c r="N72" s="21"/>
      <c r="O72" s="21"/>
      <c r="P72" s="21"/>
      <c r="Q72" s="21"/>
      <c r="R72" s="21"/>
      <c r="S72" s="21"/>
      <c r="T72" s="21"/>
      <c r="U72" s="21"/>
      <c r="V72" s="43">
        <f t="shared" si="2"/>
        <v>0</v>
      </c>
    </row>
    <row r="73" spans="1:22" ht="82.5">
      <c r="A73" s="25" t="s">
        <v>35</v>
      </c>
      <c r="B73" s="23" t="s">
        <v>127</v>
      </c>
      <c r="C73" s="20">
        <v>821</v>
      </c>
      <c r="D73" s="24" t="s">
        <v>37</v>
      </c>
      <c r="E73" s="31" t="s">
        <v>128</v>
      </c>
      <c r="F73" s="21">
        <f>G73+H73+I73</f>
        <v>1082491.2000000002</v>
      </c>
      <c r="G73" s="21">
        <v>655365.30000000005</v>
      </c>
      <c r="H73" s="21">
        <v>426043.4</v>
      </c>
      <c r="I73" s="22">
        <v>1082.5</v>
      </c>
      <c r="J73" s="22">
        <f>K73+L73+M73</f>
        <v>1082491.2000000002</v>
      </c>
      <c r="K73" s="22">
        <v>655365.30000000005</v>
      </c>
      <c r="L73" s="22">
        <v>426043.4</v>
      </c>
      <c r="M73" s="22">
        <v>1082.5</v>
      </c>
      <c r="N73" s="21">
        <f t="shared" si="31"/>
        <v>1081408.7</v>
      </c>
      <c r="O73" s="21">
        <v>687844.2</v>
      </c>
      <c r="P73" s="21">
        <v>393564.5</v>
      </c>
      <c r="Q73" s="21"/>
      <c r="R73" s="21">
        <f t="shared" si="32"/>
        <v>0</v>
      </c>
      <c r="S73" s="21">
        <f>687844.2-687844.2</f>
        <v>0</v>
      </c>
      <c r="T73" s="21"/>
      <c r="U73" s="21"/>
      <c r="V73" s="43">
        <f t="shared" ref="V73:V136" si="33">J73/F73</f>
        <v>1</v>
      </c>
    </row>
    <row r="74" spans="1:22" ht="66">
      <c r="A74" s="25"/>
      <c r="B74" s="23" t="s">
        <v>342</v>
      </c>
      <c r="C74" s="20">
        <v>821</v>
      </c>
      <c r="D74" s="24" t="s">
        <v>37</v>
      </c>
      <c r="E74" s="31" t="s">
        <v>343</v>
      </c>
      <c r="F74" s="21"/>
      <c r="G74" s="21"/>
      <c r="H74" s="21"/>
      <c r="I74" s="22"/>
      <c r="J74" s="22"/>
      <c r="K74" s="22"/>
      <c r="L74" s="22"/>
      <c r="M74" s="22"/>
      <c r="N74" s="21"/>
      <c r="O74" s="21"/>
      <c r="P74" s="21"/>
      <c r="Q74" s="21"/>
      <c r="R74" s="21">
        <f>S74</f>
        <v>687844.2</v>
      </c>
      <c r="S74" s="21">
        <v>687844.2</v>
      </c>
      <c r="T74" s="21"/>
      <c r="U74" s="21"/>
      <c r="V74" s="43"/>
    </row>
    <row r="75" spans="1:22" ht="49.5">
      <c r="A75" s="25"/>
      <c r="B75" s="23" t="s">
        <v>129</v>
      </c>
      <c r="C75" s="20">
        <v>815</v>
      </c>
      <c r="D75" s="24" t="s">
        <v>123</v>
      </c>
      <c r="E75" s="31" t="s">
        <v>130</v>
      </c>
      <c r="F75" s="21">
        <f>G75+H75+I75</f>
        <v>75000</v>
      </c>
      <c r="G75" s="21">
        <v>37500</v>
      </c>
      <c r="H75" s="21"/>
      <c r="I75" s="22">
        <v>37500</v>
      </c>
      <c r="J75" s="22">
        <f>K75+L75+M75</f>
        <v>57749.7</v>
      </c>
      <c r="K75" s="22">
        <v>37500</v>
      </c>
      <c r="L75" s="22"/>
      <c r="M75" s="22">
        <v>20249.7</v>
      </c>
      <c r="N75" s="21"/>
      <c r="O75" s="21"/>
      <c r="P75" s="21"/>
      <c r="Q75" s="21"/>
      <c r="R75" s="21"/>
      <c r="S75" s="21"/>
      <c r="T75" s="21"/>
      <c r="U75" s="21"/>
      <c r="V75" s="43">
        <f t="shared" si="33"/>
        <v>0.76999600000000001</v>
      </c>
    </row>
    <row r="76" spans="1:22" ht="33">
      <c r="A76" s="15" t="s">
        <v>131</v>
      </c>
      <c r="B76" s="16" t="s">
        <v>132</v>
      </c>
      <c r="C76" s="17" t="s">
        <v>20</v>
      </c>
      <c r="D76" s="17" t="s">
        <v>20</v>
      </c>
      <c r="E76" s="17" t="s">
        <v>20</v>
      </c>
      <c r="F76" s="18">
        <f>F78+F79+F80+F81</f>
        <v>37934.589999999997</v>
      </c>
      <c r="G76" s="18">
        <f t="shared" ref="G76:U76" si="34">G78+G79+G80+G81</f>
        <v>7442.99</v>
      </c>
      <c r="H76" s="18">
        <f t="shared" si="34"/>
        <v>30491.599999999999</v>
      </c>
      <c r="I76" s="18">
        <f t="shared" si="34"/>
        <v>0</v>
      </c>
      <c r="J76" s="18">
        <f>J78+J79+J80+J81</f>
        <v>6479.4000000000005</v>
      </c>
      <c r="K76" s="18">
        <f t="shared" si="34"/>
        <v>5950.46</v>
      </c>
      <c r="L76" s="18">
        <f t="shared" si="34"/>
        <v>528.94000000000005</v>
      </c>
      <c r="M76" s="18">
        <f t="shared" si="34"/>
        <v>0</v>
      </c>
      <c r="N76" s="18">
        <f t="shared" si="34"/>
        <v>0</v>
      </c>
      <c r="O76" s="18">
        <f t="shared" si="34"/>
        <v>0</v>
      </c>
      <c r="P76" s="18">
        <f t="shared" si="34"/>
        <v>0</v>
      </c>
      <c r="Q76" s="18">
        <f t="shared" si="34"/>
        <v>0</v>
      </c>
      <c r="R76" s="18">
        <f t="shared" si="34"/>
        <v>0</v>
      </c>
      <c r="S76" s="18">
        <f t="shared" si="34"/>
        <v>0</v>
      </c>
      <c r="T76" s="18">
        <f t="shared" si="34"/>
        <v>0</v>
      </c>
      <c r="U76" s="18">
        <f t="shared" si="34"/>
        <v>0</v>
      </c>
      <c r="V76" s="42">
        <f t="shared" si="33"/>
        <v>0.17080453485855523</v>
      </c>
    </row>
    <row r="77" spans="1:22" ht="16.5">
      <c r="A77" s="25"/>
      <c r="B77" s="19" t="s">
        <v>23</v>
      </c>
      <c r="C77" s="20"/>
      <c r="D77" s="20"/>
      <c r="E77" s="20"/>
      <c r="F77" s="21"/>
      <c r="G77" s="21"/>
      <c r="H77" s="21"/>
      <c r="I77" s="21"/>
      <c r="J77" s="22"/>
      <c r="K77" s="22"/>
      <c r="L77" s="22"/>
      <c r="M77" s="22"/>
      <c r="N77" s="21"/>
      <c r="O77" s="21"/>
      <c r="P77" s="21"/>
      <c r="Q77" s="21"/>
      <c r="R77" s="21"/>
      <c r="S77" s="21"/>
      <c r="T77" s="21"/>
      <c r="U77" s="21"/>
      <c r="V77" s="43"/>
    </row>
    <row r="78" spans="1:22" ht="82.5">
      <c r="A78" s="25" t="s">
        <v>35</v>
      </c>
      <c r="B78" s="23" t="s">
        <v>133</v>
      </c>
      <c r="C78" s="20">
        <v>815</v>
      </c>
      <c r="D78" s="24" t="s">
        <v>123</v>
      </c>
      <c r="E78" s="31" t="s">
        <v>134</v>
      </c>
      <c r="F78" s="21">
        <f>G78+H78+I78</f>
        <v>27001.699999999997</v>
      </c>
      <c r="G78" s="21">
        <v>810.1</v>
      </c>
      <c r="H78" s="21">
        <v>26191.599999999999</v>
      </c>
      <c r="I78" s="21"/>
      <c r="J78" s="22">
        <f>K78+L78+M78</f>
        <v>431.42</v>
      </c>
      <c r="K78" s="22">
        <v>12.94</v>
      </c>
      <c r="L78" s="22">
        <v>418.48</v>
      </c>
      <c r="M78" s="22"/>
      <c r="N78" s="21"/>
      <c r="O78" s="21"/>
      <c r="P78" s="21"/>
      <c r="Q78" s="21"/>
      <c r="R78" s="21"/>
      <c r="S78" s="21"/>
      <c r="T78" s="21"/>
      <c r="U78" s="21"/>
      <c r="V78" s="43">
        <f t="shared" si="33"/>
        <v>1.5977512526989045E-2</v>
      </c>
    </row>
    <row r="79" spans="1:22" ht="82.5">
      <c r="A79" s="25" t="s">
        <v>35</v>
      </c>
      <c r="B79" s="23" t="s">
        <v>133</v>
      </c>
      <c r="C79" s="20">
        <v>816</v>
      </c>
      <c r="D79" s="24" t="s">
        <v>135</v>
      </c>
      <c r="E79" s="31" t="s">
        <v>136</v>
      </c>
      <c r="F79" s="21">
        <f>G79+H79+I79</f>
        <v>4432.99</v>
      </c>
      <c r="G79" s="21">
        <f>133-0.01</f>
        <v>132.99</v>
      </c>
      <c r="H79" s="21">
        <v>4300</v>
      </c>
      <c r="I79" s="21"/>
      <c r="J79" s="22">
        <f>K79+L79+M79</f>
        <v>113.88</v>
      </c>
      <c r="K79" s="22">
        <v>3.42</v>
      </c>
      <c r="L79" s="22">
        <v>110.46</v>
      </c>
      <c r="M79" s="22"/>
      <c r="N79" s="21"/>
      <c r="O79" s="21"/>
      <c r="P79" s="21"/>
      <c r="Q79" s="21"/>
      <c r="R79" s="21"/>
      <c r="S79" s="21"/>
      <c r="T79" s="21"/>
      <c r="U79" s="21"/>
      <c r="V79" s="43">
        <f t="shared" si="33"/>
        <v>2.5689207510055292E-2</v>
      </c>
    </row>
    <row r="80" spans="1:22" ht="49.5">
      <c r="A80" s="25"/>
      <c r="B80" s="23" t="s">
        <v>137</v>
      </c>
      <c r="C80" s="20">
        <v>815</v>
      </c>
      <c r="D80" s="24" t="s">
        <v>123</v>
      </c>
      <c r="E80" s="8" t="s">
        <v>138</v>
      </c>
      <c r="F80" s="21">
        <f>G80</f>
        <v>6249.9</v>
      </c>
      <c r="G80" s="21">
        <v>6249.9</v>
      </c>
      <c r="H80" s="21"/>
      <c r="I80" s="21"/>
      <c r="J80" s="22">
        <f>K80</f>
        <v>5729.1</v>
      </c>
      <c r="K80" s="22">
        <f>4166.7+1562.4</f>
        <v>5729.1</v>
      </c>
      <c r="L80" s="22"/>
      <c r="M80" s="22"/>
      <c r="N80" s="21"/>
      <c r="O80" s="21"/>
      <c r="P80" s="21"/>
      <c r="Q80" s="21"/>
      <c r="R80" s="21"/>
      <c r="S80" s="21"/>
      <c r="T80" s="21"/>
      <c r="U80" s="21"/>
      <c r="V80" s="43">
        <f t="shared" si="33"/>
        <v>0.91667066673066777</v>
      </c>
    </row>
    <row r="81" spans="1:22" ht="66">
      <c r="A81" s="25"/>
      <c r="B81" s="23" t="s">
        <v>139</v>
      </c>
      <c r="C81" s="20">
        <v>816</v>
      </c>
      <c r="D81" s="24" t="s">
        <v>135</v>
      </c>
      <c r="E81" s="31" t="s">
        <v>140</v>
      </c>
      <c r="F81" s="21">
        <f>G81+H81+I81</f>
        <v>250</v>
      </c>
      <c r="G81" s="21">
        <v>250</v>
      </c>
      <c r="H81" s="21"/>
      <c r="I81" s="21"/>
      <c r="J81" s="22">
        <f>K81</f>
        <v>205</v>
      </c>
      <c r="K81" s="22">
        <f>40+165</f>
        <v>205</v>
      </c>
      <c r="L81" s="22"/>
      <c r="M81" s="22"/>
      <c r="N81" s="21"/>
      <c r="O81" s="21"/>
      <c r="P81" s="21"/>
      <c r="Q81" s="21"/>
      <c r="R81" s="21"/>
      <c r="S81" s="21"/>
      <c r="T81" s="21"/>
      <c r="U81" s="21"/>
      <c r="V81" s="43">
        <f t="shared" si="33"/>
        <v>0.82</v>
      </c>
    </row>
    <row r="82" spans="1:22" ht="33">
      <c r="A82" s="15" t="s">
        <v>141</v>
      </c>
      <c r="B82" s="16" t="s">
        <v>142</v>
      </c>
      <c r="C82" s="17" t="s">
        <v>20</v>
      </c>
      <c r="D82" s="17" t="s">
        <v>20</v>
      </c>
      <c r="E82" s="17" t="s">
        <v>20</v>
      </c>
      <c r="F82" s="18">
        <f>F84+F85+F86+F88+F87</f>
        <v>94449.7</v>
      </c>
      <c r="G82" s="18">
        <f t="shared" ref="G82:U82" si="35">G84+G85+G86+G88+G87</f>
        <v>83475.7</v>
      </c>
      <c r="H82" s="18">
        <f t="shared" si="35"/>
        <v>10960.7</v>
      </c>
      <c r="I82" s="18">
        <f t="shared" si="35"/>
        <v>13.3</v>
      </c>
      <c r="J82" s="18">
        <f t="shared" si="35"/>
        <v>45310.320000000007</v>
      </c>
      <c r="K82" s="18">
        <f t="shared" si="35"/>
        <v>45310.320000000007</v>
      </c>
      <c r="L82" s="18">
        <f t="shared" si="35"/>
        <v>0</v>
      </c>
      <c r="M82" s="18">
        <f t="shared" si="35"/>
        <v>13.3</v>
      </c>
      <c r="N82" s="18">
        <f t="shared" si="35"/>
        <v>0</v>
      </c>
      <c r="O82" s="18">
        <f t="shared" si="35"/>
        <v>0</v>
      </c>
      <c r="P82" s="18">
        <f t="shared" si="35"/>
        <v>0</v>
      </c>
      <c r="Q82" s="18">
        <f t="shared" si="35"/>
        <v>0</v>
      </c>
      <c r="R82" s="18">
        <f t="shared" si="35"/>
        <v>0</v>
      </c>
      <c r="S82" s="18">
        <f t="shared" si="35"/>
        <v>0</v>
      </c>
      <c r="T82" s="18">
        <f t="shared" si="35"/>
        <v>0</v>
      </c>
      <c r="U82" s="18">
        <f t="shared" si="35"/>
        <v>0</v>
      </c>
      <c r="V82" s="42">
        <f t="shared" si="33"/>
        <v>0.47972963386860951</v>
      </c>
    </row>
    <row r="83" spans="1:22" ht="16.5">
      <c r="A83" s="25"/>
      <c r="B83" s="19" t="s">
        <v>23</v>
      </c>
      <c r="C83" s="20"/>
      <c r="D83" s="20"/>
      <c r="E83" s="20"/>
      <c r="F83" s="21"/>
      <c r="G83" s="21"/>
      <c r="H83" s="21"/>
      <c r="I83" s="21"/>
      <c r="J83" s="22"/>
      <c r="K83" s="22"/>
      <c r="L83" s="22"/>
      <c r="M83" s="22"/>
      <c r="N83" s="21"/>
      <c r="O83" s="21"/>
      <c r="P83" s="21"/>
      <c r="Q83" s="21"/>
      <c r="R83" s="21"/>
      <c r="S83" s="21"/>
      <c r="T83" s="21"/>
      <c r="U83" s="21"/>
      <c r="V83" s="43"/>
    </row>
    <row r="84" spans="1:22" ht="66">
      <c r="A84" s="25" t="s">
        <v>35</v>
      </c>
      <c r="B84" s="23" t="s">
        <v>143</v>
      </c>
      <c r="C84" s="20">
        <v>821</v>
      </c>
      <c r="D84" s="24" t="s">
        <v>37</v>
      </c>
      <c r="E84" s="31" t="s">
        <v>144</v>
      </c>
      <c r="F84" s="21">
        <f>G84+H84+I84</f>
        <v>13244.7</v>
      </c>
      <c r="G84" s="21">
        <v>2270.6999999999998</v>
      </c>
      <c r="H84" s="21">
        <v>10960.7</v>
      </c>
      <c r="I84" s="22">
        <v>13.3</v>
      </c>
      <c r="J84" s="22"/>
      <c r="K84" s="22"/>
      <c r="L84" s="22"/>
      <c r="M84" s="22">
        <v>13.3</v>
      </c>
      <c r="N84" s="21"/>
      <c r="O84" s="21"/>
      <c r="P84" s="21"/>
      <c r="Q84" s="21"/>
      <c r="R84" s="21"/>
      <c r="S84" s="21"/>
      <c r="T84" s="21"/>
      <c r="U84" s="21"/>
      <c r="V84" s="43">
        <f t="shared" si="33"/>
        <v>0</v>
      </c>
    </row>
    <row r="85" spans="1:22" ht="49.5">
      <c r="A85" s="25"/>
      <c r="B85" s="23" t="s">
        <v>145</v>
      </c>
      <c r="C85" s="20">
        <v>815</v>
      </c>
      <c r="D85" s="24" t="s">
        <v>123</v>
      </c>
      <c r="E85" s="31" t="s">
        <v>146</v>
      </c>
      <c r="F85" s="21">
        <f>G85</f>
        <v>30000</v>
      </c>
      <c r="G85" s="21">
        <v>30000</v>
      </c>
      <c r="H85" s="21"/>
      <c r="I85" s="21"/>
      <c r="J85" s="22">
        <f>K85</f>
        <v>9248.57</v>
      </c>
      <c r="K85" s="22">
        <f>9248.57</f>
        <v>9248.57</v>
      </c>
      <c r="L85" s="22"/>
      <c r="M85" s="22"/>
      <c r="N85" s="21"/>
      <c r="O85" s="21"/>
      <c r="P85" s="21"/>
      <c r="Q85" s="21"/>
      <c r="R85" s="21"/>
      <c r="S85" s="21"/>
      <c r="T85" s="21"/>
      <c r="U85" s="21"/>
      <c r="V85" s="43">
        <f t="shared" si="33"/>
        <v>0.30828566666666668</v>
      </c>
    </row>
    <row r="86" spans="1:22" ht="66">
      <c r="A86" s="25"/>
      <c r="B86" s="23" t="s">
        <v>147</v>
      </c>
      <c r="C86" s="29">
        <v>815</v>
      </c>
      <c r="D86" s="30" t="s">
        <v>123</v>
      </c>
      <c r="E86" s="25" t="s">
        <v>148</v>
      </c>
      <c r="F86" s="22">
        <f>G86</f>
        <v>35464.5</v>
      </c>
      <c r="G86" s="22">
        <v>35464.5</v>
      </c>
      <c r="H86" s="22"/>
      <c r="I86" s="22"/>
      <c r="J86" s="22">
        <f>K86</f>
        <v>23786.45</v>
      </c>
      <c r="K86" s="22">
        <f>23786.45</f>
        <v>23786.45</v>
      </c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44">
        <f t="shared" si="33"/>
        <v>0.67071155662704962</v>
      </c>
    </row>
    <row r="87" spans="1:22" ht="49.5">
      <c r="A87" s="25"/>
      <c r="B87" s="23" t="s">
        <v>149</v>
      </c>
      <c r="C87" s="29">
        <v>815</v>
      </c>
      <c r="D87" s="30" t="s">
        <v>123</v>
      </c>
      <c r="E87" s="25" t="s">
        <v>150</v>
      </c>
      <c r="F87" s="22">
        <f>G87</f>
        <v>10720</v>
      </c>
      <c r="G87" s="22">
        <v>10720</v>
      </c>
      <c r="H87" s="22"/>
      <c r="I87" s="22"/>
      <c r="J87" s="22">
        <f>K87</f>
        <v>7260.2000000000007</v>
      </c>
      <c r="K87" s="22">
        <f>2024.4+4097.8+1138</f>
        <v>7260.2000000000007</v>
      </c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44">
        <f t="shared" si="33"/>
        <v>0.67725746268656728</v>
      </c>
    </row>
    <row r="88" spans="1:22" ht="66">
      <c r="A88" s="25"/>
      <c r="B88" s="23" t="s">
        <v>151</v>
      </c>
      <c r="C88" s="29">
        <v>815</v>
      </c>
      <c r="D88" s="30" t="s">
        <v>123</v>
      </c>
      <c r="E88" s="25" t="s">
        <v>152</v>
      </c>
      <c r="F88" s="22">
        <f>G88</f>
        <v>5020.5</v>
      </c>
      <c r="G88" s="22">
        <v>5020.5</v>
      </c>
      <c r="H88" s="22"/>
      <c r="I88" s="22"/>
      <c r="J88" s="22">
        <f>K88+L88+M88</f>
        <v>5015.1000000000004</v>
      </c>
      <c r="K88" s="22">
        <v>5015.1000000000004</v>
      </c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44">
        <f t="shared" si="33"/>
        <v>0.99892440991933085</v>
      </c>
    </row>
    <row r="89" spans="1:22" ht="66">
      <c r="A89" s="15" t="s">
        <v>153</v>
      </c>
      <c r="B89" s="16" t="s">
        <v>154</v>
      </c>
      <c r="C89" s="17" t="s">
        <v>20</v>
      </c>
      <c r="D89" s="17" t="s">
        <v>20</v>
      </c>
      <c r="E89" s="17" t="s">
        <v>20</v>
      </c>
      <c r="F89" s="18">
        <f>F91+F92+F93+F94+F95+F96+F97+F98+F99</f>
        <v>73344.73</v>
      </c>
      <c r="G89" s="18">
        <f t="shared" ref="G89:U89" si="36">G91+G92+G93+G94+G95+G96+G97+G98+G99</f>
        <v>19250.13</v>
      </c>
      <c r="H89" s="18">
        <f t="shared" si="36"/>
        <v>54094.6</v>
      </c>
      <c r="I89" s="18">
        <f t="shared" si="36"/>
        <v>0</v>
      </c>
      <c r="J89" s="18">
        <f>J91+J92+J93+J94+J95+J96+J97+J98+J99</f>
        <v>15642.96</v>
      </c>
      <c r="K89" s="18">
        <f t="shared" si="36"/>
        <v>7791.71</v>
      </c>
      <c r="L89" s="18">
        <f t="shared" si="36"/>
        <v>7851.25</v>
      </c>
      <c r="M89" s="18">
        <f t="shared" si="36"/>
        <v>0</v>
      </c>
      <c r="N89" s="18">
        <f t="shared" si="36"/>
        <v>61120</v>
      </c>
      <c r="O89" s="18">
        <f t="shared" si="36"/>
        <v>61120</v>
      </c>
      <c r="P89" s="18">
        <f t="shared" si="36"/>
        <v>0</v>
      </c>
      <c r="Q89" s="18">
        <f t="shared" si="36"/>
        <v>0</v>
      </c>
      <c r="R89" s="18">
        <f t="shared" si="36"/>
        <v>67320</v>
      </c>
      <c r="S89" s="18">
        <f t="shared" si="36"/>
        <v>67320</v>
      </c>
      <c r="T89" s="18">
        <f t="shared" si="36"/>
        <v>0</v>
      </c>
      <c r="U89" s="18">
        <f t="shared" si="36"/>
        <v>0</v>
      </c>
      <c r="V89" s="42">
        <f t="shared" si="33"/>
        <v>0.21327994526668786</v>
      </c>
    </row>
    <row r="90" spans="1:22" ht="16.5">
      <c r="A90" s="25"/>
      <c r="B90" s="19" t="s">
        <v>23</v>
      </c>
      <c r="C90" s="20"/>
      <c r="D90" s="20"/>
      <c r="E90" s="20"/>
      <c r="F90" s="21"/>
      <c r="G90" s="21"/>
      <c r="H90" s="21"/>
      <c r="I90" s="21"/>
      <c r="J90" s="22"/>
      <c r="K90" s="22"/>
      <c r="L90" s="22"/>
      <c r="M90" s="22"/>
      <c r="N90" s="21"/>
      <c r="O90" s="21"/>
      <c r="P90" s="21"/>
      <c r="Q90" s="21"/>
      <c r="R90" s="21"/>
      <c r="S90" s="21"/>
      <c r="T90" s="21"/>
      <c r="U90" s="21"/>
      <c r="V90" s="43"/>
    </row>
    <row r="91" spans="1:22" ht="66">
      <c r="A91" s="25"/>
      <c r="B91" s="23" t="s">
        <v>155</v>
      </c>
      <c r="C91" s="20">
        <v>816</v>
      </c>
      <c r="D91" s="24" t="s">
        <v>135</v>
      </c>
      <c r="E91" s="31" t="s">
        <v>156</v>
      </c>
      <c r="F91" s="21">
        <f>G91+H91+I91</f>
        <v>0</v>
      </c>
      <c r="G91" s="21">
        <f>8670-8670</f>
        <v>0</v>
      </c>
      <c r="H91" s="21">
        <v>0</v>
      </c>
      <c r="I91" s="21"/>
      <c r="J91" s="22">
        <f>K91</f>
        <v>0</v>
      </c>
      <c r="K91" s="22">
        <f>39.59+504.24+3119.25-3663.08</f>
        <v>0</v>
      </c>
      <c r="L91" s="22"/>
      <c r="M91" s="22"/>
      <c r="N91" s="21">
        <f>O91+P91+Q91</f>
        <v>0</v>
      </c>
      <c r="O91" s="21">
        <f>28120-28120</f>
        <v>0</v>
      </c>
      <c r="P91" s="21"/>
      <c r="Q91" s="21"/>
      <c r="R91" s="21">
        <f>S91+T91+U91</f>
        <v>0</v>
      </c>
      <c r="S91" s="21">
        <f>34320-34320</f>
        <v>0</v>
      </c>
      <c r="T91" s="21"/>
      <c r="U91" s="21"/>
      <c r="V91" s="43"/>
    </row>
    <row r="92" spans="1:22" ht="66">
      <c r="A92" s="25" t="s">
        <v>35</v>
      </c>
      <c r="B92" s="23" t="s">
        <v>157</v>
      </c>
      <c r="C92" s="20">
        <v>816</v>
      </c>
      <c r="D92" s="24" t="s">
        <v>135</v>
      </c>
      <c r="E92" s="31" t="s">
        <v>158</v>
      </c>
      <c r="F92" s="21">
        <f>G92+H92+I92</f>
        <v>55767.63</v>
      </c>
      <c r="G92" s="21">
        <f>1673+0.03</f>
        <v>1673.03</v>
      </c>
      <c r="H92" s="21">
        <v>54094.6</v>
      </c>
      <c r="I92" s="21"/>
      <c r="J92" s="22">
        <f>K92+L92</f>
        <v>8094.07</v>
      </c>
      <c r="K92" s="22">
        <f>224.82+18</f>
        <v>242.82</v>
      </c>
      <c r="L92" s="22">
        <f>7269.25+582</f>
        <v>7851.25</v>
      </c>
      <c r="M92" s="22"/>
      <c r="N92" s="21"/>
      <c r="O92" s="21"/>
      <c r="P92" s="21"/>
      <c r="Q92" s="21"/>
      <c r="R92" s="21"/>
      <c r="S92" s="21"/>
      <c r="T92" s="21"/>
      <c r="U92" s="21"/>
      <c r="V92" s="43">
        <f t="shared" si="33"/>
        <v>0.14513921427179172</v>
      </c>
    </row>
    <row r="93" spans="1:22" ht="82.5">
      <c r="A93" s="25"/>
      <c r="B93" s="23" t="s">
        <v>159</v>
      </c>
      <c r="C93" s="20">
        <v>816</v>
      </c>
      <c r="D93" s="24" t="s">
        <v>135</v>
      </c>
      <c r="E93" s="31" t="s">
        <v>160</v>
      </c>
      <c r="F93" s="21">
        <f>G93+H93+I93</f>
        <v>0</v>
      </c>
      <c r="G93" s="21">
        <f>8907.1-8907.1</f>
        <v>0</v>
      </c>
      <c r="H93" s="21"/>
      <c r="I93" s="21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43"/>
    </row>
    <row r="94" spans="1:22" ht="66">
      <c r="A94" s="25"/>
      <c r="B94" s="23" t="s">
        <v>161</v>
      </c>
      <c r="C94" s="20">
        <v>816</v>
      </c>
      <c r="D94" s="24" t="s">
        <v>135</v>
      </c>
      <c r="E94" s="31" t="s">
        <v>162</v>
      </c>
      <c r="F94" s="21"/>
      <c r="G94" s="21"/>
      <c r="H94" s="21"/>
      <c r="I94" s="21"/>
      <c r="J94" s="22"/>
      <c r="K94" s="22"/>
      <c r="L94" s="22"/>
      <c r="M94" s="22"/>
      <c r="N94" s="21">
        <f>O94+P94+Q94</f>
        <v>33000</v>
      </c>
      <c r="O94" s="21">
        <v>33000</v>
      </c>
      <c r="P94" s="21"/>
      <c r="Q94" s="21"/>
      <c r="R94" s="21">
        <f>S94+T94+U94</f>
        <v>33000</v>
      </c>
      <c r="S94" s="21">
        <v>33000</v>
      </c>
      <c r="T94" s="21"/>
      <c r="U94" s="21"/>
      <c r="V94" s="43"/>
    </row>
    <row r="95" spans="1:22" ht="82.5">
      <c r="A95" s="25"/>
      <c r="B95" s="23" t="s">
        <v>159</v>
      </c>
      <c r="C95" s="20">
        <v>816</v>
      </c>
      <c r="D95" s="24" t="s">
        <v>135</v>
      </c>
      <c r="E95" s="31" t="s">
        <v>163</v>
      </c>
      <c r="F95" s="21">
        <f>G95</f>
        <v>8907.1</v>
      </c>
      <c r="G95" s="21">
        <v>8907.1</v>
      </c>
      <c r="H95" s="21"/>
      <c r="I95" s="21"/>
      <c r="J95" s="22">
        <f>K95+L95+M95</f>
        <v>1054.3399999999999</v>
      </c>
      <c r="K95" s="22">
        <f>1054.34</f>
        <v>1054.3399999999999</v>
      </c>
      <c r="L95" s="22"/>
      <c r="M95" s="22"/>
      <c r="N95" s="21"/>
      <c r="O95" s="21"/>
      <c r="P95" s="21"/>
      <c r="Q95" s="21"/>
      <c r="R95" s="21"/>
      <c r="S95" s="21"/>
      <c r="T95" s="21"/>
      <c r="U95" s="21"/>
      <c r="V95" s="43">
        <f t="shared" si="33"/>
        <v>0.11837073795062364</v>
      </c>
    </row>
    <row r="96" spans="1:22" ht="82.5">
      <c r="A96" s="25"/>
      <c r="B96" s="23" t="s">
        <v>164</v>
      </c>
      <c r="C96" s="20">
        <v>816</v>
      </c>
      <c r="D96" s="24" t="s">
        <v>135</v>
      </c>
      <c r="E96" s="31" t="s">
        <v>165</v>
      </c>
      <c r="F96" s="21">
        <f>G96</f>
        <v>3840</v>
      </c>
      <c r="G96" s="21">
        <v>3840</v>
      </c>
      <c r="H96" s="21"/>
      <c r="I96" s="21"/>
      <c r="J96" s="22">
        <f>K96</f>
        <v>3840</v>
      </c>
      <c r="K96" s="22">
        <v>3840</v>
      </c>
      <c r="L96" s="22"/>
      <c r="M96" s="22"/>
      <c r="N96" s="21">
        <f>O96</f>
        <v>5620</v>
      </c>
      <c r="O96" s="21">
        <v>5620</v>
      </c>
      <c r="P96" s="21"/>
      <c r="Q96" s="21"/>
      <c r="R96" s="21">
        <f>S96</f>
        <v>5620</v>
      </c>
      <c r="S96" s="21">
        <v>5620</v>
      </c>
      <c r="T96" s="21"/>
      <c r="U96" s="21"/>
      <c r="V96" s="43">
        <f t="shared" si="33"/>
        <v>1</v>
      </c>
    </row>
    <row r="97" spans="1:22" ht="99">
      <c r="A97" s="25"/>
      <c r="B97" s="23" t="s">
        <v>166</v>
      </c>
      <c r="C97" s="20">
        <v>816</v>
      </c>
      <c r="D97" s="24" t="s">
        <v>135</v>
      </c>
      <c r="E97" s="31" t="s">
        <v>167</v>
      </c>
      <c r="F97" s="21">
        <f>G97</f>
        <v>280</v>
      </c>
      <c r="G97" s="21">
        <v>280</v>
      </c>
      <c r="H97" s="21"/>
      <c r="I97" s="21"/>
      <c r="J97" s="22"/>
      <c r="K97" s="22"/>
      <c r="L97" s="22"/>
      <c r="M97" s="22"/>
      <c r="N97" s="21">
        <f>O97</f>
        <v>20</v>
      </c>
      <c r="O97" s="21">
        <v>20</v>
      </c>
      <c r="P97" s="21"/>
      <c r="Q97" s="21"/>
      <c r="R97" s="21">
        <f>S97</f>
        <v>20</v>
      </c>
      <c r="S97" s="21">
        <v>20</v>
      </c>
      <c r="T97" s="21"/>
      <c r="U97" s="21"/>
      <c r="V97" s="43">
        <f t="shared" si="33"/>
        <v>0</v>
      </c>
    </row>
    <row r="98" spans="1:22" ht="66">
      <c r="A98" s="25"/>
      <c r="B98" s="23" t="s">
        <v>168</v>
      </c>
      <c r="C98" s="20">
        <v>816</v>
      </c>
      <c r="D98" s="24" t="s">
        <v>135</v>
      </c>
      <c r="E98" s="31" t="s">
        <v>169</v>
      </c>
      <c r="F98" s="21">
        <f>G98</f>
        <v>4550</v>
      </c>
      <c r="G98" s="21">
        <v>4550</v>
      </c>
      <c r="H98" s="21"/>
      <c r="I98" s="21"/>
      <c r="J98" s="22">
        <f>K98</f>
        <v>2654.55</v>
      </c>
      <c r="K98" s="22">
        <f>2654.55</f>
        <v>2654.55</v>
      </c>
      <c r="L98" s="22"/>
      <c r="M98" s="22"/>
      <c r="N98" s="21">
        <f>O98</f>
        <v>5850</v>
      </c>
      <c r="O98" s="21">
        <v>5850</v>
      </c>
      <c r="P98" s="21"/>
      <c r="Q98" s="21"/>
      <c r="R98" s="21">
        <f>S98</f>
        <v>6500</v>
      </c>
      <c r="S98" s="21">
        <v>6500</v>
      </c>
      <c r="T98" s="21"/>
      <c r="U98" s="21"/>
      <c r="V98" s="43">
        <f t="shared" si="33"/>
        <v>0.58341758241758246</v>
      </c>
    </row>
    <row r="99" spans="1:22" ht="99">
      <c r="A99" s="25"/>
      <c r="B99" s="23" t="s">
        <v>170</v>
      </c>
      <c r="C99" s="20">
        <v>816</v>
      </c>
      <c r="D99" s="24" t="s">
        <v>135</v>
      </c>
      <c r="E99" s="31" t="s">
        <v>171</v>
      </c>
      <c r="F99" s="21"/>
      <c r="G99" s="21"/>
      <c r="H99" s="21"/>
      <c r="I99" s="21"/>
      <c r="J99" s="22"/>
      <c r="K99" s="22"/>
      <c r="L99" s="22"/>
      <c r="M99" s="22"/>
      <c r="N99" s="21">
        <f>O99</f>
        <v>16630</v>
      </c>
      <c r="O99" s="21">
        <v>16630</v>
      </c>
      <c r="P99" s="21"/>
      <c r="Q99" s="21"/>
      <c r="R99" s="21">
        <f>S99</f>
        <v>22180</v>
      </c>
      <c r="S99" s="21">
        <v>22180</v>
      </c>
      <c r="T99" s="21"/>
      <c r="U99" s="21"/>
      <c r="V99" s="43"/>
    </row>
    <row r="100" spans="1:22" ht="33">
      <c r="A100" s="15" t="s">
        <v>172</v>
      </c>
      <c r="B100" s="16" t="s">
        <v>173</v>
      </c>
      <c r="C100" s="17" t="s">
        <v>20</v>
      </c>
      <c r="D100" s="17" t="s">
        <v>20</v>
      </c>
      <c r="E100" s="17" t="s">
        <v>20</v>
      </c>
      <c r="F100" s="18">
        <f t="shared" ref="F100:U100" si="37">F101</f>
        <v>1066</v>
      </c>
      <c r="G100" s="18">
        <f t="shared" si="37"/>
        <v>1066</v>
      </c>
      <c r="H100" s="18">
        <f t="shared" si="37"/>
        <v>0</v>
      </c>
      <c r="I100" s="18">
        <f t="shared" si="37"/>
        <v>0</v>
      </c>
      <c r="J100" s="18">
        <f t="shared" si="37"/>
        <v>699.73</v>
      </c>
      <c r="K100" s="18">
        <f t="shared" si="37"/>
        <v>699.73</v>
      </c>
      <c r="L100" s="18">
        <f t="shared" si="37"/>
        <v>0</v>
      </c>
      <c r="M100" s="18">
        <f t="shared" si="37"/>
        <v>0</v>
      </c>
      <c r="N100" s="18">
        <f t="shared" si="37"/>
        <v>0</v>
      </c>
      <c r="O100" s="18">
        <f t="shared" si="37"/>
        <v>0</v>
      </c>
      <c r="P100" s="18">
        <f t="shared" si="37"/>
        <v>0</v>
      </c>
      <c r="Q100" s="18">
        <f t="shared" si="37"/>
        <v>0</v>
      </c>
      <c r="R100" s="18">
        <f t="shared" si="37"/>
        <v>0</v>
      </c>
      <c r="S100" s="18">
        <f t="shared" si="37"/>
        <v>0</v>
      </c>
      <c r="T100" s="18">
        <f t="shared" si="37"/>
        <v>0</v>
      </c>
      <c r="U100" s="18">
        <f t="shared" si="37"/>
        <v>0</v>
      </c>
      <c r="V100" s="42">
        <f t="shared" si="33"/>
        <v>0.65640712945590995</v>
      </c>
    </row>
    <row r="101" spans="1:22" ht="49.5">
      <c r="A101" s="25"/>
      <c r="B101" s="23" t="s">
        <v>174</v>
      </c>
      <c r="C101" s="20">
        <v>815</v>
      </c>
      <c r="D101" s="24" t="s">
        <v>123</v>
      </c>
      <c r="E101" s="31" t="s">
        <v>175</v>
      </c>
      <c r="F101" s="21">
        <f>G101</f>
        <v>1066</v>
      </c>
      <c r="G101" s="21">
        <v>1066</v>
      </c>
      <c r="H101" s="21"/>
      <c r="I101" s="21"/>
      <c r="J101" s="22">
        <f>K101</f>
        <v>699.73</v>
      </c>
      <c r="K101" s="22">
        <f>699.73</f>
        <v>699.73</v>
      </c>
      <c r="L101" s="22"/>
      <c r="M101" s="22"/>
      <c r="N101" s="21"/>
      <c r="O101" s="21"/>
      <c r="P101" s="21"/>
      <c r="Q101" s="21"/>
      <c r="R101" s="21"/>
      <c r="S101" s="21"/>
      <c r="T101" s="21"/>
      <c r="U101" s="21"/>
      <c r="V101" s="43">
        <f t="shared" si="33"/>
        <v>0.65640712945590995</v>
      </c>
    </row>
    <row r="102" spans="1:22" ht="16.5">
      <c r="A102" s="11" t="s">
        <v>176</v>
      </c>
      <c r="B102" s="12" t="s">
        <v>177</v>
      </c>
      <c r="C102" s="13" t="s">
        <v>20</v>
      </c>
      <c r="D102" s="13" t="s">
        <v>20</v>
      </c>
      <c r="E102" s="13" t="s">
        <v>20</v>
      </c>
      <c r="F102" s="14">
        <f t="shared" ref="F102:U102" si="38">F103+F107+F110+F113+F122</f>
        <v>113666.54</v>
      </c>
      <c r="G102" s="14">
        <f t="shared" si="38"/>
        <v>113666.54</v>
      </c>
      <c r="H102" s="14">
        <f t="shared" si="38"/>
        <v>0</v>
      </c>
      <c r="I102" s="14">
        <f t="shared" si="38"/>
        <v>0</v>
      </c>
      <c r="J102" s="14">
        <f>J103+J107+J110+J113+J122</f>
        <v>53425.35</v>
      </c>
      <c r="K102" s="14">
        <f t="shared" si="38"/>
        <v>53425.35</v>
      </c>
      <c r="L102" s="14">
        <f t="shared" si="38"/>
        <v>0</v>
      </c>
      <c r="M102" s="14">
        <f t="shared" si="38"/>
        <v>0</v>
      </c>
      <c r="N102" s="14">
        <f t="shared" si="38"/>
        <v>0</v>
      </c>
      <c r="O102" s="14">
        <f t="shared" si="38"/>
        <v>0</v>
      </c>
      <c r="P102" s="14">
        <f t="shared" si="38"/>
        <v>0</v>
      </c>
      <c r="Q102" s="14">
        <f t="shared" si="38"/>
        <v>0</v>
      </c>
      <c r="R102" s="14">
        <f t="shared" si="38"/>
        <v>0</v>
      </c>
      <c r="S102" s="14">
        <f t="shared" si="38"/>
        <v>0</v>
      </c>
      <c r="T102" s="14">
        <f t="shared" si="38"/>
        <v>0</v>
      </c>
      <c r="U102" s="14">
        <f t="shared" si="38"/>
        <v>0</v>
      </c>
      <c r="V102" s="41">
        <f t="shared" si="33"/>
        <v>0.47001826570950433</v>
      </c>
    </row>
    <row r="103" spans="1:22" ht="33">
      <c r="A103" s="15" t="s">
        <v>178</v>
      </c>
      <c r="B103" s="16" t="s">
        <v>179</v>
      </c>
      <c r="C103" s="17" t="s">
        <v>20</v>
      </c>
      <c r="D103" s="17" t="s">
        <v>20</v>
      </c>
      <c r="E103" s="17" t="s">
        <v>20</v>
      </c>
      <c r="F103" s="18">
        <f>F104+F105+F106</f>
        <v>5306.1299999999992</v>
      </c>
      <c r="G103" s="18">
        <f>G104+G105+G106</f>
        <v>5306.1299999999992</v>
      </c>
      <c r="H103" s="18">
        <f t="shared" ref="H103" si="39">H104+H105</f>
        <v>0</v>
      </c>
      <c r="I103" s="18">
        <f>I104+I105</f>
        <v>0</v>
      </c>
      <c r="J103" s="18">
        <f t="shared" ref="J103" si="40">J104+J105</f>
        <v>5000</v>
      </c>
      <c r="K103" s="18">
        <f t="shared" ref="K103" si="41">K104+K105</f>
        <v>5000</v>
      </c>
      <c r="L103" s="18">
        <f t="shared" ref="L103:U103" si="42">L104</f>
        <v>0</v>
      </c>
      <c r="M103" s="18">
        <f t="shared" si="42"/>
        <v>0</v>
      </c>
      <c r="N103" s="18">
        <f t="shared" si="42"/>
        <v>0</v>
      </c>
      <c r="O103" s="18">
        <f t="shared" si="42"/>
        <v>0</v>
      </c>
      <c r="P103" s="18">
        <f t="shared" si="42"/>
        <v>0</v>
      </c>
      <c r="Q103" s="18">
        <f t="shared" si="42"/>
        <v>0</v>
      </c>
      <c r="R103" s="18">
        <f t="shared" si="42"/>
        <v>0</v>
      </c>
      <c r="S103" s="18">
        <f t="shared" si="42"/>
        <v>0</v>
      </c>
      <c r="T103" s="18">
        <f t="shared" si="42"/>
        <v>0</v>
      </c>
      <c r="U103" s="18">
        <f t="shared" si="42"/>
        <v>0</v>
      </c>
      <c r="V103" s="42">
        <f t="shared" si="33"/>
        <v>0.94230635133326945</v>
      </c>
    </row>
    <row r="104" spans="1:22" ht="49.5">
      <c r="A104" s="25"/>
      <c r="B104" s="23" t="s">
        <v>180</v>
      </c>
      <c r="C104" s="20">
        <v>815</v>
      </c>
      <c r="D104" s="24" t="s">
        <v>123</v>
      </c>
      <c r="E104" s="31" t="s">
        <v>181</v>
      </c>
      <c r="F104" s="21">
        <f>G104+H104+I104</f>
        <v>5000</v>
      </c>
      <c r="G104" s="21">
        <f>3550+1450</f>
        <v>5000</v>
      </c>
      <c r="H104" s="21"/>
      <c r="I104" s="21"/>
      <c r="J104" s="22">
        <f>K104</f>
        <v>5000</v>
      </c>
      <c r="K104" s="22">
        <f>3550+1450</f>
        <v>5000</v>
      </c>
      <c r="L104" s="22"/>
      <c r="M104" s="22"/>
      <c r="N104" s="21"/>
      <c r="O104" s="21"/>
      <c r="P104" s="21"/>
      <c r="Q104" s="21"/>
      <c r="R104" s="21"/>
      <c r="S104" s="21"/>
      <c r="T104" s="21"/>
      <c r="U104" s="21"/>
      <c r="V104" s="43">
        <f t="shared" si="33"/>
        <v>1</v>
      </c>
    </row>
    <row r="105" spans="1:22" ht="66">
      <c r="A105" s="25"/>
      <c r="B105" s="23" t="s">
        <v>330</v>
      </c>
      <c r="C105" s="20">
        <v>815</v>
      </c>
      <c r="D105" s="24" t="s">
        <v>123</v>
      </c>
      <c r="E105" s="31" t="s">
        <v>329</v>
      </c>
      <c r="F105" s="21">
        <f>G105</f>
        <v>244.9</v>
      </c>
      <c r="G105" s="21">
        <v>244.9</v>
      </c>
      <c r="H105" s="21"/>
      <c r="I105" s="21"/>
      <c r="J105" s="22"/>
      <c r="K105" s="22"/>
      <c r="L105" s="22"/>
      <c r="M105" s="22"/>
      <c r="N105" s="21"/>
      <c r="O105" s="21"/>
      <c r="P105" s="21"/>
      <c r="Q105" s="21"/>
      <c r="R105" s="21"/>
      <c r="S105" s="21"/>
      <c r="T105" s="21"/>
      <c r="U105" s="21"/>
      <c r="V105" s="43">
        <f t="shared" si="33"/>
        <v>0</v>
      </c>
    </row>
    <row r="106" spans="1:22" ht="99">
      <c r="A106" s="25"/>
      <c r="B106" s="23" t="s">
        <v>332</v>
      </c>
      <c r="C106" s="20">
        <v>815</v>
      </c>
      <c r="D106" s="24" t="s">
        <v>123</v>
      </c>
      <c r="E106" s="31" t="s">
        <v>331</v>
      </c>
      <c r="F106" s="21">
        <f>G106</f>
        <v>61.23</v>
      </c>
      <c r="G106" s="21">
        <v>61.23</v>
      </c>
      <c r="H106" s="21"/>
      <c r="I106" s="21"/>
      <c r="J106" s="22"/>
      <c r="K106" s="22"/>
      <c r="L106" s="22"/>
      <c r="M106" s="22"/>
      <c r="N106" s="21"/>
      <c r="O106" s="21"/>
      <c r="P106" s="21"/>
      <c r="Q106" s="21"/>
      <c r="R106" s="21"/>
      <c r="S106" s="21"/>
      <c r="T106" s="21"/>
      <c r="U106" s="21"/>
      <c r="V106" s="43">
        <f t="shared" si="33"/>
        <v>0</v>
      </c>
    </row>
    <row r="107" spans="1:22" ht="33">
      <c r="A107" s="15" t="s">
        <v>182</v>
      </c>
      <c r="B107" s="16" t="s">
        <v>183</v>
      </c>
      <c r="C107" s="17" t="s">
        <v>20</v>
      </c>
      <c r="D107" s="17" t="s">
        <v>20</v>
      </c>
      <c r="E107" s="17" t="s">
        <v>20</v>
      </c>
      <c r="F107" s="18">
        <f>F109</f>
        <v>56878.28</v>
      </c>
      <c r="G107" s="18">
        <f t="shared" ref="G107:K107" si="43">G109</f>
        <v>56878.28</v>
      </c>
      <c r="H107" s="18">
        <f t="shared" si="43"/>
        <v>0</v>
      </c>
      <c r="I107" s="18">
        <f t="shared" si="43"/>
        <v>0</v>
      </c>
      <c r="J107" s="18">
        <f t="shared" si="43"/>
        <v>35000</v>
      </c>
      <c r="K107" s="18">
        <f t="shared" si="43"/>
        <v>35000</v>
      </c>
      <c r="L107" s="36"/>
      <c r="M107" s="36"/>
      <c r="N107" s="18"/>
      <c r="O107" s="18"/>
      <c r="P107" s="18"/>
      <c r="Q107" s="18"/>
      <c r="R107" s="18"/>
      <c r="S107" s="18"/>
      <c r="T107" s="18"/>
      <c r="U107" s="18"/>
      <c r="V107" s="42">
        <f t="shared" si="33"/>
        <v>0.61534912799754138</v>
      </c>
    </row>
    <row r="108" spans="1:22" ht="16.5">
      <c r="A108" s="25"/>
      <c r="B108" s="32" t="s">
        <v>23</v>
      </c>
      <c r="C108" s="20"/>
      <c r="D108" s="24"/>
      <c r="E108" s="31"/>
      <c r="F108" s="21"/>
      <c r="G108" s="21"/>
      <c r="H108" s="21"/>
      <c r="I108" s="21"/>
      <c r="J108" s="22"/>
      <c r="K108" s="22"/>
      <c r="L108" s="22"/>
      <c r="M108" s="22"/>
      <c r="N108" s="21"/>
      <c r="O108" s="21"/>
      <c r="P108" s="21"/>
      <c r="Q108" s="21"/>
      <c r="R108" s="21"/>
      <c r="S108" s="21"/>
      <c r="T108" s="21"/>
      <c r="U108" s="21"/>
      <c r="V108" s="43"/>
    </row>
    <row r="109" spans="1:22" ht="99">
      <c r="A109" s="25"/>
      <c r="B109" s="23" t="s">
        <v>184</v>
      </c>
      <c r="C109" s="20">
        <v>840</v>
      </c>
      <c r="D109" s="24" t="s">
        <v>185</v>
      </c>
      <c r="E109" s="31" t="s">
        <v>186</v>
      </c>
      <c r="F109" s="21">
        <f>G109</f>
        <v>56878.28</v>
      </c>
      <c r="G109" s="21">
        <f>60000-3121.72</f>
        <v>56878.28</v>
      </c>
      <c r="H109" s="21"/>
      <c r="I109" s="21"/>
      <c r="J109" s="22">
        <f>K109+L109+M109</f>
        <v>35000</v>
      </c>
      <c r="K109" s="22">
        <v>35000</v>
      </c>
      <c r="L109" s="22"/>
      <c r="M109" s="22"/>
      <c r="N109" s="21"/>
      <c r="O109" s="21"/>
      <c r="P109" s="21"/>
      <c r="Q109" s="21"/>
      <c r="R109" s="21"/>
      <c r="S109" s="21"/>
      <c r="T109" s="21"/>
      <c r="U109" s="21"/>
      <c r="V109" s="43">
        <f t="shared" si="33"/>
        <v>0.61534912799754138</v>
      </c>
    </row>
    <row r="110" spans="1:22" ht="33">
      <c r="A110" s="15" t="s">
        <v>187</v>
      </c>
      <c r="B110" s="16" t="s">
        <v>188</v>
      </c>
      <c r="C110" s="17" t="s">
        <v>20</v>
      </c>
      <c r="D110" s="17" t="s">
        <v>20</v>
      </c>
      <c r="E110" s="17" t="s">
        <v>20</v>
      </c>
      <c r="F110" s="18">
        <f>F112</f>
        <v>1300</v>
      </c>
      <c r="G110" s="18">
        <f t="shared" ref="G110:U110" si="44">G112</f>
        <v>1300</v>
      </c>
      <c r="H110" s="18">
        <f t="shared" si="44"/>
        <v>0</v>
      </c>
      <c r="I110" s="18">
        <f t="shared" si="44"/>
        <v>0</v>
      </c>
      <c r="J110" s="18">
        <f t="shared" si="44"/>
        <v>1282.46</v>
      </c>
      <c r="K110" s="18">
        <f t="shared" si="44"/>
        <v>1282.46</v>
      </c>
      <c r="L110" s="18">
        <f t="shared" si="44"/>
        <v>0</v>
      </c>
      <c r="M110" s="18">
        <f t="shared" si="44"/>
        <v>0</v>
      </c>
      <c r="N110" s="18">
        <f t="shared" si="44"/>
        <v>0</v>
      </c>
      <c r="O110" s="18">
        <f t="shared" si="44"/>
        <v>0</v>
      </c>
      <c r="P110" s="18">
        <f t="shared" si="44"/>
        <v>0</v>
      </c>
      <c r="Q110" s="18">
        <f t="shared" si="44"/>
        <v>0</v>
      </c>
      <c r="R110" s="18">
        <f t="shared" si="44"/>
        <v>0</v>
      </c>
      <c r="S110" s="18">
        <f t="shared" si="44"/>
        <v>0</v>
      </c>
      <c r="T110" s="18">
        <f t="shared" si="44"/>
        <v>0</v>
      </c>
      <c r="U110" s="18">
        <f t="shared" si="44"/>
        <v>0</v>
      </c>
      <c r="V110" s="42">
        <f t="shared" si="33"/>
        <v>0.98650769230769231</v>
      </c>
    </row>
    <row r="111" spans="1:22" ht="16.5">
      <c r="A111" s="25"/>
      <c r="B111" s="23" t="s">
        <v>23</v>
      </c>
      <c r="C111" s="20"/>
      <c r="D111" s="24"/>
      <c r="E111" s="31"/>
      <c r="F111" s="21"/>
      <c r="G111" s="21"/>
      <c r="H111" s="21"/>
      <c r="I111" s="21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43"/>
    </row>
    <row r="112" spans="1:22" ht="49.5">
      <c r="A112" s="25"/>
      <c r="B112" s="23" t="s">
        <v>189</v>
      </c>
      <c r="C112" s="20">
        <v>804</v>
      </c>
      <c r="D112" s="24" t="s">
        <v>190</v>
      </c>
      <c r="E112" s="8" t="s">
        <v>191</v>
      </c>
      <c r="F112" s="21">
        <v>1300</v>
      </c>
      <c r="G112" s="21">
        <v>1300</v>
      </c>
      <c r="H112" s="21"/>
      <c r="I112" s="21"/>
      <c r="J112" s="22">
        <f>K112</f>
        <v>1282.46</v>
      </c>
      <c r="K112" s="22">
        <f>1282.46</f>
        <v>1282.46</v>
      </c>
      <c r="L112" s="22"/>
      <c r="M112" s="22"/>
      <c r="N112" s="21">
        <f>O112</f>
        <v>0</v>
      </c>
      <c r="O112" s="21">
        <v>0</v>
      </c>
      <c r="P112" s="21"/>
      <c r="Q112" s="21"/>
      <c r="R112" s="21">
        <f>S112</f>
        <v>0</v>
      </c>
      <c r="S112" s="21">
        <v>0</v>
      </c>
      <c r="T112" s="21"/>
      <c r="U112" s="21"/>
      <c r="V112" s="43">
        <f t="shared" si="33"/>
        <v>0.98650769230769231</v>
      </c>
    </row>
    <row r="113" spans="1:22" ht="33">
      <c r="A113" s="15" t="s">
        <v>192</v>
      </c>
      <c r="B113" s="16" t="s">
        <v>193</v>
      </c>
      <c r="C113" s="17" t="s">
        <v>20</v>
      </c>
      <c r="D113" s="17" t="s">
        <v>20</v>
      </c>
      <c r="E113" s="17" t="s">
        <v>20</v>
      </c>
      <c r="F113" s="18">
        <f>SUM(F115:F121)</f>
        <v>32182.129999999997</v>
      </c>
      <c r="G113" s="18">
        <f t="shared" ref="G113:P113" si="45">SUM(G115:G121)</f>
        <v>32182.129999999997</v>
      </c>
      <c r="H113" s="18">
        <f t="shared" si="45"/>
        <v>0</v>
      </c>
      <c r="I113" s="18">
        <f t="shared" si="45"/>
        <v>0</v>
      </c>
      <c r="J113" s="18">
        <f t="shared" si="45"/>
        <v>11984.27</v>
      </c>
      <c r="K113" s="18">
        <f t="shared" si="45"/>
        <v>11984.27</v>
      </c>
      <c r="L113" s="18">
        <f t="shared" si="45"/>
        <v>0</v>
      </c>
      <c r="M113" s="18">
        <f t="shared" si="45"/>
        <v>0</v>
      </c>
      <c r="N113" s="18">
        <f t="shared" si="45"/>
        <v>0</v>
      </c>
      <c r="O113" s="18">
        <f t="shared" si="45"/>
        <v>0</v>
      </c>
      <c r="P113" s="18">
        <f t="shared" si="45"/>
        <v>0</v>
      </c>
      <c r="Q113" s="18">
        <f t="shared" ref="Q113:U113" si="46">SUM(Q116:Q121)</f>
        <v>0</v>
      </c>
      <c r="R113" s="18">
        <f t="shared" si="46"/>
        <v>0</v>
      </c>
      <c r="S113" s="18">
        <f t="shared" si="46"/>
        <v>0</v>
      </c>
      <c r="T113" s="18">
        <f t="shared" si="46"/>
        <v>0</v>
      </c>
      <c r="U113" s="18">
        <f t="shared" si="46"/>
        <v>0</v>
      </c>
      <c r="V113" s="42">
        <f t="shared" si="33"/>
        <v>0.37238896244592889</v>
      </c>
    </row>
    <row r="114" spans="1:22" ht="16.5">
      <c r="A114" s="25"/>
      <c r="B114" s="32" t="s">
        <v>23</v>
      </c>
      <c r="C114" s="20"/>
      <c r="D114" s="24"/>
      <c r="E114" s="31"/>
      <c r="F114" s="21"/>
      <c r="G114" s="21"/>
      <c r="H114" s="21"/>
      <c r="I114" s="21"/>
      <c r="J114" s="22"/>
      <c r="K114" s="22"/>
      <c r="L114" s="22"/>
      <c r="M114" s="22"/>
      <c r="N114" s="21"/>
      <c r="O114" s="21"/>
      <c r="P114" s="21"/>
      <c r="Q114" s="21"/>
      <c r="R114" s="21"/>
      <c r="S114" s="21"/>
      <c r="T114" s="21"/>
      <c r="U114" s="21"/>
      <c r="V114" s="43"/>
    </row>
    <row r="115" spans="1:22" ht="33">
      <c r="A115" s="25"/>
      <c r="B115" s="32" t="s">
        <v>341</v>
      </c>
      <c r="C115" s="29">
        <v>804</v>
      </c>
      <c r="D115" s="30" t="s">
        <v>190</v>
      </c>
      <c r="E115" s="31" t="s">
        <v>340</v>
      </c>
      <c r="F115" s="21">
        <f>G115</f>
        <v>3440</v>
      </c>
      <c r="G115" s="21">
        <v>3440</v>
      </c>
      <c r="H115" s="21"/>
      <c r="I115" s="21"/>
      <c r="J115" s="22"/>
      <c r="K115" s="22"/>
      <c r="L115" s="22"/>
      <c r="M115" s="22"/>
      <c r="N115" s="21"/>
      <c r="O115" s="21"/>
      <c r="P115" s="21"/>
      <c r="Q115" s="21"/>
      <c r="R115" s="21"/>
      <c r="S115" s="21"/>
      <c r="T115" s="21"/>
      <c r="U115" s="21"/>
      <c r="V115" s="43">
        <f t="shared" si="33"/>
        <v>0</v>
      </c>
    </row>
    <row r="116" spans="1:22" ht="49.5">
      <c r="A116" s="25"/>
      <c r="B116" s="23" t="s">
        <v>194</v>
      </c>
      <c r="C116" s="29">
        <v>804</v>
      </c>
      <c r="D116" s="30" t="s">
        <v>190</v>
      </c>
      <c r="E116" s="25" t="s">
        <v>195</v>
      </c>
      <c r="F116" s="22">
        <f t="shared" ref="F116:F121" si="47">G116</f>
        <v>0</v>
      </c>
      <c r="G116" s="22">
        <f>1120-1120</f>
        <v>0</v>
      </c>
      <c r="H116" s="22"/>
      <c r="I116" s="22"/>
      <c r="J116" s="22"/>
      <c r="K116" s="22"/>
      <c r="L116" s="22"/>
      <c r="M116" s="22"/>
      <c r="N116" s="22">
        <f t="shared" ref="N116:N121" si="48">O116</f>
        <v>0</v>
      </c>
      <c r="O116" s="22">
        <v>0</v>
      </c>
      <c r="P116" s="22"/>
      <c r="Q116" s="22"/>
      <c r="R116" s="22">
        <f t="shared" ref="R116:R121" si="49">S116</f>
        <v>0</v>
      </c>
      <c r="S116" s="22">
        <v>0</v>
      </c>
      <c r="T116" s="22"/>
      <c r="U116" s="22"/>
      <c r="V116" s="44"/>
    </row>
    <row r="117" spans="1:22" ht="66">
      <c r="A117" s="25"/>
      <c r="B117" s="23" t="s">
        <v>196</v>
      </c>
      <c r="C117" s="29">
        <v>804</v>
      </c>
      <c r="D117" s="30" t="s">
        <v>190</v>
      </c>
      <c r="E117" s="25" t="s">
        <v>197</v>
      </c>
      <c r="F117" s="22">
        <f t="shared" si="47"/>
        <v>9540.4599999999991</v>
      </c>
      <c r="G117" s="22">
        <f>18020+452.03-8931.57</f>
        <v>9540.4599999999991</v>
      </c>
      <c r="H117" s="22"/>
      <c r="I117" s="22"/>
      <c r="J117" s="22">
        <f>K117+L117+M117</f>
        <v>3842.49</v>
      </c>
      <c r="K117" s="22">
        <f>3842.49</f>
        <v>3842.49</v>
      </c>
      <c r="L117" s="22"/>
      <c r="M117" s="22"/>
      <c r="N117" s="22">
        <f t="shared" si="48"/>
        <v>0</v>
      </c>
      <c r="O117" s="22">
        <v>0</v>
      </c>
      <c r="P117" s="22"/>
      <c r="Q117" s="22"/>
      <c r="R117" s="22">
        <f t="shared" si="49"/>
        <v>0</v>
      </c>
      <c r="S117" s="22">
        <v>0</v>
      </c>
      <c r="T117" s="22"/>
      <c r="U117" s="22"/>
      <c r="V117" s="44">
        <f t="shared" si="33"/>
        <v>0.40275730939598303</v>
      </c>
    </row>
    <row r="118" spans="1:22" ht="82.5">
      <c r="A118" s="25"/>
      <c r="B118" s="23" t="s">
        <v>198</v>
      </c>
      <c r="C118" s="29">
        <v>804</v>
      </c>
      <c r="D118" s="30" t="s">
        <v>190</v>
      </c>
      <c r="E118" s="25" t="s">
        <v>199</v>
      </c>
      <c r="F118" s="22">
        <f t="shared" si="47"/>
        <v>11140</v>
      </c>
      <c r="G118" s="22">
        <f>13564.52-277.56-2146.96</f>
        <v>11140</v>
      </c>
      <c r="H118" s="22"/>
      <c r="I118" s="22"/>
      <c r="J118" s="22">
        <f t="shared" ref="J118:J121" si="50">K118+L118+M118</f>
        <v>4850</v>
      </c>
      <c r="K118" s="22">
        <v>4850</v>
      </c>
      <c r="L118" s="22"/>
      <c r="M118" s="22"/>
      <c r="N118" s="22">
        <f t="shared" si="48"/>
        <v>0</v>
      </c>
      <c r="O118" s="22">
        <v>0</v>
      </c>
      <c r="P118" s="22"/>
      <c r="Q118" s="22"/>
      <c r="R118" s="22">
        <f t="shared" si="49"/>
        <v>0</v>
      </c>
      <c r="S118" s="22">
        <v>0</v>
      </c>
      <c r="T118" s="22"/>
      <c r="U118" s="22"/>
      <c r="V118" s="44">
        <f t="shared" si="33"/>
        <v>0.43536804308797128</v>
      </c>
    </row>
    <row r="119" spans="1:22" ht="148.5">
      <c r="A119" s="25"/>
      <c r="B119" s="23" t="s">
        <v>200</v>
      </c>
      <c r="C119" s="29">
        <v>804</v>
      </c>
      <c r="D119" s="30" t="s">
        <v>190</v>
      </c>
      <c r="E119" s="25" t="s">
        <v>201</v>
      </c>
      <c r="F119" s="22">
        <f t="shared" si="47"/>
        <v>4165.55</v>
      </c>
      <c r="G119" s="22">
        <f>4165.55</f>
        <v>4165.55</v>
      </c>
      <c r="H119" s="22"/>
      <c r="I119" s="22"/>
      <c r="J119" s="22">
        <f t="shared" si="50"/>
        <v>0</v>
      </c>
      <c r="K119" s="22"/>
      <c r="L119" s="22"/>
      <c r="M119" s="22"/>
      <c r="N119" s="22">
        <f t="shared" si="48"/>
        <v>0</v>
      </c>
      <c r="O119" s="22">
        <v>0</v>
      </c>
      <c r="P119" s="22"/>
      <c r="Q119" s="22"/>
      <c r="R119" s="22">
        <f t="shared" si="49"/>
        <v>0</v>
      </c>
      <c r="S119" s="22">
        <v>0</v>
      </c>
      <c r="T119" s="22"/>
      <c r="U119" s="22"/>
      <c r="V119" s="44">
        <f t="shared" si="33"/>
        <v>0</v>
      </c>
    </row>
    <row r="120" spans="1:22" ht="49.5">
      <c r="A120" s="25"/>
      <c r="B120" s="23" t="s">
        <v>202</v>
      </c>
      <c r="C120" s="29">
        <v>804</v>
      </c>
      <c r="D120" s="30" t="s">
        <v>190</v>
      </c>
      <c r="E120" s="25" t="s">
        <v>203</v>
      </c>
      <c r="F120" s="22">
        <f t="shared" si="47"/>
        <v>0</v>
      </c>
      <c r="G120" s="22">
        <f>5200-278.82-4921.18</f>
        <v>0</v>
      </c>
      <c r="H120" s="22"/>
      <c r="I120" s="22"/>
      <c r="J120" s="22">
        <f t="shared" si="50"/>
        <v>0</v>
      </c>
      <c r="K120" s="22">
        <f>0</f>
        <v>0</v>
      </c>
      <c r="L120" s="22"/>
      <c r="M120" s="22"/>
      <c r="N120" s="22">
        <f t="shared" si="48"/>
        <v>0</v>
      </c>
      <c r="O120" s="22">
        <v>0</v>
      </c>
      <c r="P120" s="22"/>
      <c r="Q120" s="22"/>
      <c r="R120" s="22">
        <f t="shared" si="49"/>
        <v>0</v>
      </c>
      <c r="S120" s="22">
        <v>0</v>
      </c>
      <c r="T120" s="22"/>
      <c r="U120" s="22"/>
      <c r="V120" s="44"/>
    </row>
    <row r="121" spans="1:22" ht="148.5">
      <c r="A121" s="25"/>
      <c r="B121" s="23" t="s">
        <v>204</v>
      </c>
      <c r="C121" s="29">
        <v>804</v>
      </c>
      <c r="D121" s="30" t="s">
        <v>190</v>
      </c>
      <c r="E121" s="25" t="s">
        <v>205</v>
      </c>
      <c r="F121" s="22">
        <f t="shared" si="47"/>
        <v>3896.1200000000003</v>
      </c>
      <c r="G121" s="22">
        <f>3791.78+104.34</f>
        <v>3896.1200000000003</v>
      </c>
      <c r="H121" s="22"/>
      <c r="I121" s="22"/>
      <c r="J121" s="22">
        <f t="shared" si="50"/>
        <v>3291.78</v>
      </c>
      <c r="K121" s="22">
        <v>3291.78</v>
      </c>
      <c r="L121" s="22"/>
      <c r="M121" s="22"/>
      <c r="N121" s="22">
        <f t="shared" si="48"/>
        <v>0</v>
      </c>
      <c r="O121" s="22">
        <v>0</v>
      </c>
      <c r="P121" s="22"/>
      <c r="Q121" s="22"/>
      <c r="R121" s="22">
        <f t="shared" si="49"/>
        <v>0</v>
      </c>
      <c r="S121" s="22">
        <v>0</v>
      </c>
      <c r="T121" s="22"/>
      <c r="U121" s="22"/>
      <c r="V121" s="44">
        <f t="shared" si="33"/>
        <v>0.84488670780160768</v>
      </c>
    </row>
    <row r="122" spans="1:22" ht="33">
      <c r="A122" s="15" t="s">
        <v>206</v>
      </c>
      <c r="B122" s="16" t="s">
        <v>207</v>
      </c>
      <c r="C122" s="17" t="s">
        <v>20</v>
      </c>
      <c r="D122" s="17" t="s">
        <v>20</v>
      </c>
      <c r="E122" s="17" t="s">
        <v>20</v>
      </c>
      <c r="F122" s="18">
        <f>F124</f>
        <v>18000</v>
      </c>
      <c r="G122" s="18">
        <f t="shared" ref="G122:K122" si="51">G124</f>
        <v>18000</v>
      </c>
      <c r="H122" s="18">
        <f t="shared" si="51"/>
        <v>0</v>
      </c>
      <c r="I122" s="18">
        <f t="shared" si="51"/>
        <v>0</v>
      </c>
      <c r="J122" s="18">
        <f t="shared" si="51"/>
        <v>158.62</v>
      </c>
      <c r="K122" s="18">
        <f t="shared" si="51"/>
        <v>158.62</v>
      </c>
      <c r="L122" s="36"/>
      <c r="M122" s="36"/>
      <c r="N122" s="18"/>
      <c r="O122" s="18"/>
      <c r="P122" s="18"/>
      <c r="Q122" s="18"/>
      <c r="R122" s="18"/>
      <c r="S122" s="18"/>
      <c r="T122" s="18"/>
      <c r="U122" s="18"/>
      <c r="V122" s="42">
        <f t="shared" si="33"/>
        <v>8.812222222222223E-3</v>
      </c>
    </row>
    <row r="123" spans="1:22" ht="16.5">
      <c r="A123" s="25"/>
      <c r="B123" s="32" t="s">
        <v>23</v>
      </c>
      <c r="C123" s="20"/>
      <c r="D123" s="24"/>
      <c r="E123" s="8"/>
      <c r="F123" s="21"/>
      <c r="G123" s="21"/>
      <c r="H123" s="21"/>
      <c r="I123" s="21"/>
      <c r="J123" s="22"/>
      <c r="K123" s="22"/>
      <c r="L123" s="22"/>
      <c r="M123" s="22"/>
      <c r="N123" s="21"/>
      <c r="O123" s="21"/>
      <c r="P123" s="21"/>
      <c r="Q123" s="21"/>
      <c r="R123" s="21"/>
      <c r="S123" s="21"/>
      <c r="T123" s="21"/>
      <c r="U123" s="21"/>
      <c r="V123" s="43"/>
    </row>
    <row r="124" spans="1:22" ht="66">
      <c r="A124" s="25"/>
      <c r="B124" s="23" t="s">
        <v>208</v>
      </c>
      <c r="C124" s="20">
        <v>804</v>
      </c>
      <c r="D124" s="24" t="s">
        <v>190</v>
      </c>
      <c r="E124" s="8" t="s">
        <v>209</v>
      </c>
      <c r="F124" s="21">
        <f>G124</f>
        <v>18000</v>
      </c>
      <c r="G124" s="21">
        <v>18000</v>
      </c>
      <c r="H124" s="21"/>
      <c r="I124" s="21"/>
      <c r="J124" s="22">
        <f>K124</f>
        <v>158.62</v>
      </c>
      <c r="K124" s="22">
        <f>97.67+20.43+40.52</f>
        <v>158.62</v>
      </c>
      <c r="L124" s="22"/>
      <c r="M124" s="22"/>
      <c r="N124" s="21"/>
      <c r="O124" s="21"/>
      <c r="P124" s="21"/>
      <c r="Q124" s="21"/>
      <c r="R124" s="21"/>
      <c r="S124" s="21"/>
      <c r="T124" s="21"/>
      <c r="U124" s="21"/>
      <c r="V124" s="43">
        <f t="shared" si="33"/>
        <v>8.812222222222223E-3</v>
      </c>
    </row>
    <row r="125" spans="1:22" ht="33">
      <c r="A125" s="11" t="s">
        <v>210</v>
      </c>
      <c r="B125" s="33" t="s">
        <v>211</v>
      </c>
      <c r="C125" s="13" t="s">
        <v>20</v>
      </c>
      <c r="D125" s="13" t="s">
        <v>20</v>
      </c>
      <c r="E125" s="13" t="s">
        <v>20</v>
      </c>
      <c r="F125" s="14">
        <f>F126+F130</f>
        <v>1080927.68</v>
      </c>
      <c r="G125" s="14">
        <f>G126+G130</f>
        <v>28467.71</v>
      </c>
      <c r="H125" s="14">
        <f t="shared" ref="H125:K125" si="52">H126+H130</f>
        <v>960457.2</v>
      </c>
      <c r="I125" s="14">
        <f t="shared" si="52"/>
        <v>92002.77</v>
      </c>
      <c r="J125" s="14">
        <f t="shared" si="52"/>
        <v>143850.78000000003</v>
      </c>
      <c r="K125" s="14">
        <f t="shared" si="52"/>
        <v>4272.42</v>
      </c>
      <c r="L125" s="14">
        <f t="shared" ref="L125:U125" si="53">L126</f>
        <v>138142.28000000003</v>
      </c>
      <c r="M125" s="14">
        <f t="shared" si="53"/>
        <v>1436.08</v>
      </c>
      <c r="N125" s="14">
        <f t="shared" si="53"/>
        <v>62719.81</v>
      </c>
      <c r="O125" s="14">
        <f t="shared" si="53"/>
        <v>56479.6</v>
      </c>
      <c r="P125" s="14">
        <f t="shared" si="53"/>
        <v>0</v>
      </c>
      <c r="Q125" s="14">
        <f t="shared" si="53"/>
        <v>6240.21</v>
      </c>
      <c r="R125" s="14">
        <f t="shared" si="53"/>
        <v>1100</v>
      </c>
      <c r="S125" s="14">
        <f t="shared" si="53"/>
        <v>0</v>
      </c>
      <c r="T125" s="14">
        <f t="shared" si="53"/>
        <v>0</v>
      </c>
      <c r="U125" s="14">
        <f t="shared" si="53"/>
        <v>1100</v>
      </c>
      <c r="V125" s="41">
        <f t="shared" si="33"/>
        <v>0.13308085514102114</v>
      </c>
    </row>
    <row r="126" spans="1:22" ht="33">
      <c r="A126" s="6" t="s">
        <v>212</v>
      </c>
      <c r="B126" s="26" t="s">
        <v>213</v>
      </c>
      <c r="C126" s="17" t="s">
        <v>20</v>
      </c>
      <c r="D126" s="17" t="s">
        <v>20</v>
      </c>
      <c r="E126" s="17" t="s">
        <v>20</v>
      </c>
      <c r="F126" s="18">
        <f>F128+F129</f>
        <v>468470.77</v>
      </c>
      <c r="G126" s="18">
        <f t="shared" ref="G126:U126" si="54">G128+G129</f>
        <v>12764</v>
      </c>
      <c r="H126" s="18">
        <f t="shared" si="54"/>
        <v>452704</v>
      </c>
      <c r="I126" s="18">
        <f t="shared" si="54"/>
        <v>3002.77</v>
      </c>
      <c r="J126" s="18">
        <f t="shared" si="54"/>
        <v>143850.78000000003</v>
      </c>
      <c r="K126" s="18">
        <f t="shared" si="54"/>
        <v>4272.42</v>
      </c>
      <c r="L126" s="18">
        <f t="shared" si="54"/>
        <v>138142.28000000003</v>
      </c>
      <c r="M126" s="18">
        <f t="shared" si="54"/>
        <v>1436.08</v>
      </c>
      <c r="N126" s="18">
        <f>N128+N129</f>
        <v>62719.81</v>
      </c>
      <c r="O126" s="18">
        <f t="shared" ref="O126:R126" si="55">O128+O129</f>
        <v>56479.6</v>
      </c>
      <c r="P126" s="18">
        <f t="shared" si="55"/>
        <v>0</v>
      </c>
      <c r="Q126" s="18">
        <f t="shared" si="55"/>
        <v>6240.21</v>
      </c>
      <c r="R126" s="18">
        <f t="shared" si="55"/>
        <v>1100</v>
      </c>
      <c r="S126" s="18">
        <f t="shared" si="54"/>
        <v>0</v>
      </c>
      <c r="T126" s="18">
        <f t="shared" si="54"/>
        <v>0</v>
      </c>
      <c r="U126" s="18">
        <f t="shared" si="54"/>
        <v>1100</v>
      </c>
      <c r="V126" s="42">
        <f t="shared" si="33"/>
        <v>0.30706457950407456</v>
      </c>
    </row>
    <row r="127" spans="1:22" ht="16.5">
      <c r="A127" s="8"/>
      <c r="B127" s="27" t="s">
        <v>23</v>
      </c>
      <c r="C127" s="20"/>
      <c r="D127" s="20"/>
      <c r="E127" s="20"/>
      <c r="F127" s="21"/>
      <c r="G127" s="21"/>
      <c r="H127" s="21"/>
      <c r="I127" s="21"/>
      <c r="J127" s="22"/>
      <c r="K127" s="22"/>
      <c r="L127" s="22"/>
      <c r="M127" s="22"/>
      <c r="N127" s="21"/>
      <c r="O127" s="21"/>
      <c r="P127" s="21"/>
      <c r="Q127" s="21"/>
      <c r="R127" s="21"/>
      <c r="S127" s="21"/>
      <c r="T127" s="21"/>
      <c r="U127" s="21"/>
      <c r="V127" s="43"/>
    </row>
    <row r="128" spans="1:22" ht="66">
      <c r="A128" s="8" t="s">
        <v>35</v>
      </c>
      <c r="B128" s="28" t="s">
        <v>214</v>
      </c>
      <c r="C128" s="20">
        <v>821</v>
      </c>
      <c r="D128" s="24" t="s">
        <v>37</v>
      </c>
      <c r="E128" s="20" t="s">
        <v>215</v>
      </c>
      <c r="F128" s="21">
        <f>G128+H128+I128</f>
        <v>428470.77</v>
      </c>
      <c r="G128" s="21">
        <v>12764</v>
      </c>
      <c r="H128" s="21">
        <v>412704</v>
      </c>
      <c r="I128" s="22">
        <v>3002.77</v>
      </c>
      <c r="J128" s="22">
        <f>K128+L128+M128</f>
        <v>143850.78000000003</v>
      </c>
      <c r="K128" s="22">
        <f>4211.85+24.62+35.95</f>
        <v>4272.42</v>
      </c>
      <c r="L128" s="22">
        <f>136183.64+796.1+1162.54</f>
        <v>138142.28000000003</v>
      </c>
      <c r="M128" s="22">
        <v>1436.08</v>
      </c>
      <c r="N128" s="21">
        <f>O128+P128+Q128</f>
        <v>53679.6</v>
      </c>
      <c r="O128" s="21">
        <v>52579.6</v>
      </c>
      <c r="P128" s="21"/>
      <c r="Q128" s="21">
        <v>1100</v>
      </c>
      <c r="R128" s="21">
        <v>1100</v>
      </c>
      <c r="S128" s="21"/>
      <c r="T128" s="21"/>
      <c r="U128" s="21">
        <v>1100</v>
      </c>
      <c r="V128" s="43">
        <f t="shared" si="33"/>
        <v>0.33573067306318238</v>
      </c>
    </row>
    <row r="129" spans="1:22" ht="82.5">
      <c r="A129" s="8" t="s">
        <v>24</v>
      </c>
      <c r="B129" s="28" t="s">
        <v>216</v>
      </c>
      <c r="C129" s="20">
        <v>821</v>
      </c>
      <c r="D129" s="24" t="s">
        <v>37</v>
      </c>
      <c r="E129" s="20" t="s">
        <v>217</v>
      </c>
      <c r="F129" s="21">
        <f>G129+H129+I129</f>
        <v>40000</v>
      </c>
      <c r="G129" s="21"/>
      <c r="H129" s="21">
        <v>40000</v>
      </c>
      <c r="I129" s="21"/>
      <c r="J129" s="22"/>
      <c r="K129" s="22"/>
      <c r="L129" s="22"/>
      <c r="M129" s="22"/>
      <c r="N129" s="21">
        <f>O129+P129+Q129</f>
        <v>9040.2099999999991</v>
      </c>
      <c r="O129" s="21">
        <v>3900</v>
      </c>
      <c r="P129" s="21"/>
      <c r="Q129" s="21">
        <v>5140.21</v>
      </c>
      <c r="R129" s="21"/>
      <c r="S129" s="21"/>
      <c r="T129" s="21"/>
      <c r="U129" s="21"/>
      <c r="V129" s="43">
        <f t="shared" si="33"/>
        <v>0</v>
      </c>
    </row>
    <row r="130" spans="1:22" ht="49.5">
      <c r="A130" s="6" t="s">
        <v>218</v>
      </c>
      <c r="B130" s="26" t="s">
        <v>219</v>
      </c>
      <c r="C130" s="17" t="s">
        <v>20</v>
      </c>
      <c r="D130" s="17" t="s">
        <v>20</v>
      </c>
      <c r="E130" s="17" t="s">
        <v>20</v>
      </c>
      <c r="F130" s="18">
        <f>F131+F132+F133+F134+F135+F136</f>
        <v>612456.90999999992</v>
      </c>
      <c r="G130" s="18">
        <f t="shared" ref="G130:I130" si="56">G131+G132+G133+G134+G135+G136</f>
        <v>15703.71</v>
      </c>
      <c r="H130" s="18">
        <f t="shared" si="56"/>
        <v>507753.2</v>
      </c>
      <c r="I130" s="18">
        <f t="shared" si="56"/>
        <v>89000</v>
      </c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42">
        <f t="shared" si="33"/>
        <v>0</v>
      </c>
    </row>
    <row r="131" spans="1:22" ht="66">
      <c r="A131" s="8"/>
      <c r="B131" s="28" t="s">
        <v>220</v>
      </c>
      <c r="C131" s="20">
        <v>821</v>
      </c>
      <c r="D131" s="24" t="s">
        <v>37</v>
      </c>
      <c r="E131" s="20" t="s">
        <v>221</v>
      </c>
      <c r="F131" s="21">
        <f>G131+H131+I131</f>
        <v>0</v>
      </c>
      <c r="G131" s="21"/>
      <c r="H131" s="21">
        <f>473247.15-473247.15</f>
        <v>0</v>
      </c>
      <c r="I131" s="49">
        <v>0</v>
      </c>
      <c r="J131" s="22"/>
      <c r="K131" s="22"/>
      <c r="L131" s="22"/>
      <c r="M131" s="22"/>
      <c r="N131" s="21"/>
      <c r="O131" s="21"/>
      <c r="P131" s="21"/>
      <c r="Q131" s="21"/>
      <c r="R131" s="21"/>
      <c r="S131" s="21"/>
      <c r="T131" s="21"/>
      <c r="U131" s="21"/>
      <c r="V131" s="43"/>
    </row>
    <row r="132" spans="1:22" ht="66">
      <c r="A132" s="8"/>
      <c r="B132" s="28" t="s">
        <v>222</v>
      </c>
      <c r="C132" s="20">
        <v>821</v>
      </c>
      <c r="D132" s="24" t="s">
        <v>37</v>
      </c>
      <c r="E132" s="20" t="s">
        <v>223</v>
      </c>
      <c r="F132" s="21">
        <f>G132+H132</f>
        <v>0</v>
      </c>
      <c r="G132" s="21">
        <f>14636.51-14636.51</f>
        <v>0</v>
      </c>
      <c r="H132" s="21"/>
      <c r="I132" s="50"/>
      <c r="J132" s="22"/>
      <c r="K132" s="22"/>
      <c r="L132" s="22"/>
      <c r="M132" s="22"/>
      <c r="N132" s="21"/>
      <c r="O132" s="21"/>
      <c r="P132" s="21"/>
      <c r="Q132" s="21"/>
      <c r="R132" s="21"/>
      <c r="S132" s="21"/>
      <c r="T132" s="21"/>
      <c r="U132" s="21"/>
      <c r="V132" s="43"/>
    </row>
    <row r="133" spans="1:22" ht="66">
      <c r="A133" s="8"/>
      <c r="B133" s="28" t="s">
        <v>224</v>
      </c>
      <c r="C133" s="20">
        <v>821</v>
      </c>
      <c r="D133" s="24" t="s">
        <v>37</v>
      </c>
      <c r="E133" s="20" t="s">
        <v>225</v>
      </c>
      <c r="F133" s="21">
        <f>H133+I133</f>
        <v>0</v>
      </c>
      <c r="G133" s="21"/>
      <c r="H133" s="21">
        <f>34506.05-34506.05</f>
        <v>0</v>
      </c>
      <c r="I133" s="49">
        <v>0</v>
      </c>
      <c r="J133" s="22"/>
      <c r="K133" s="22"/>
      <c r="L133" s="22"/>
      <c r="M133" s="22"/>
      <c r="N133" s="21"/>
      <c r="O133" s="21"/>
      <c r="P133" s="21"/>
      <c r="Q133" s="21"/>
      <c r="R133" s="21"/>
      <c r="S133" s="21"/>
      <c r="T133" s="21"/>
      <c r="U133" s="21"/>
      <c r="V133" s="43"/>
    </row>
    <row r="134" spans="1:22" ht="66">
      <c r="A134" s="8"/>
      <c r="B134" s="28" t="s">
        <v>226</v>
      </c>
      <c r="C134" s="20">
        <v>821</v>
      </c>
      <c r="D134" s="24" t="s">
        <v>37</v>
      </c>
      <c r="E134" s="20" t="s">
        <v>227</v>
      </c>
      <c r="F134" s="21">
        <f>G134</f>
        <v>0</v>
      </c>
      <c r="G134" s="21">
        <f>1067.2-1067.2</f>
        <v>0</v>
      </c>
      <c r="H134" s="21"/>
      <c r="I134" s="50"/>
      <c r="J134" s="22"/>
      <c r="K134" s="22"/>
      <c r="L134" s="22"/>
      <c r="M134" s="22"/>
      <c r="N134" s="21"/>
      <c r="O134" s="21"/>
      <c r="P134" s="21"/>
      <c r="Q134" s="21"/>
      <c r="R134" s="21"/>
      <c r="S134" s="21"/>
      <c r="T134" s="21"/>
      <c r="U134" s="21"/>
      <c r="V134" s="43"/>
    </row>
    <row r="135" spans="1:22" ht="82.5">
      <c r="A135" s="6" t="s">
        <v>335</v>
      </c>
      <c r="B135" s="28" t="s">
        <v>336</v>
      </c>
      <c r="C135" s="20">
        <v>821</v>
      </c>
      <c r="D135" s="24" t="s">
        <v>37</v>
      </c>
      <c r="E135" s="20" t="s">
        <v>337</v>
      </c>
      <c r="F135" s="21">
        <f>H135+I135</f>
        <v>596753.19999999995</v>
      </c>
      <c r="G135" s="21"/>
      <c r="H135" s="21">
        <v>507753.2</v>
      </c>
      <c r="I135" s="49">
        <f>76071.2+12928.8</f>
        <v>89000</v>
      </c>
      <c r="J135" s="22"/>
      <c r="K135" s="22"/>
      <c r="L135" s="22"/>
      <c r="M135" s="22"/>
      <c r="N135" s="21"/>
      <c r="O135" s="21"/>
      <c r="P135" s="21"/>
      <c r="Q135" s="21"/>
      <c r="R135" s="21"/>
      <c r="S135" s="21"/>
      <c r="T135" s="21"/>
      <c r="U135" s="21"/>
      <c r="V135" s="43">
        <f t="shared" si="33"/>
        <v>0</v>
      </c>
    </row>
    <row r="136" spans="1:22" ht="66">
      <c r="A136" s="8"/>
      <c r="B136" s="28" t="s">
        <v>338</v>
      </c>
      <c r="C136" s="20">
        <v>821</v>
      </c>
      <c r="D136" s="24" t="s">
        <v>37</v>
      </c>
      <c r="E136" s="20" t="s">
        <v>339</v>
      </c>
      <c r="F136" s="21">
        <f>G136+H136+I136</f>
        <v>15703.71</v>
      </c>
      <c r="G136" s="21">
        <v>15703.71</v>
      </c>
      <c r="H136" s="21"/>
      <c r="I136" s="50"/>
      <c r="J136" s="22"/>
      <c r="K136" s="22"/>
      <c r="L136" s="22"/>
      <c r="M136" s="22"/>
      <c r="N136" s="21"/>
      <c r="O136" s="21"/>
      <c r="P136" s="21"/>
      <c r="Q136" s="21"/>
      <c r="R136" s="21"/>
      <c r="S136" s="21"/>
      <c r="T136" s="21"/>
      <c r="U136" s="21"/>
      <c r="V136" s="43">
        <f t="shared" si="33"/>
        <v>0</v>
      </c>
    </row>
    <row r="137" spans="1:22" ht="16.5">
      <c r="A137" s="11" t="s">
        <v>228</v>
      </c>
      <c r="B137" s="12" t="s">
        <v>229</v>
      </c>
      <c r="C137" s="13" t="s">
        <v>20</v>
      </c>
      <c r="D137" s="13" t="s">
        <v>20</v>
      </c>
      <c r="E137" s="13" t="s">
        <v>20</v>
      </c>
      <c r="F137" s="14">
        <f>F138+F143+F146+F149</f>
        <v>179095.59999999998</v>
      </c>
      <c r="G137" s="14">
        <f>G138+G143+G146+G149</f>
        <v>38152</v>
      </c>
      <c r="H137" s="14">
        <f>H138+H143+H146+H149</f>
        <v>125408.99999999999</v>
      </c>
      <c r="I137" s="14">
        <f>I138+I143+I149+I146</f>
        <v>15534.6</v>
      </c>
      <c r="J137" s="14">
        <f t="shared" ref="J137:U137" si="57">J138+J143+J146+J149</f>
        <v>54719.39</v>
      </c>
      <c r="K137" s="14">
        <f t="shared" si="57"/>
        <v>137</v>
      </c>
      <c r="L137" s="14">
        <f t="shared" si="57"/>
        <v>54582.39</v>
      </c>
      <c r="M137" s="14">
        <f t="shared" si="57"/>
        <v>0</v>
      </c>
      <c r="N137" s="14">
        <f t="shared" si="57"/>
        <v>184354.60000000003</v>
      </c>
      <c r="O137" s="14">
        <f t="shared" si="57"/>
        <v>53681.899999999994</v>
      </c>
      <c r="P137" s="14">
        <f t="shared" si="57"/>
        <v>127203.40000000001</v>
      </c>
      <c r="Q137" s="14">
        <f t="shared" si="57"/>
        <v>3469.3</v>
      </c>
      <c r="R137" s="14">
        <f t="shared" si="57"/>
        <v>315837.60000000003</v>
      </c>
      <c r="S137" s="14">
        <f t="shared" si="57"/>
        <v>109904.40000000001</v>
      </c>
      <c r="T137" s="14">
        <f t="shared" si="57"/>
        <v>202425.8</v>
      </c>
      <c r="U137" s="14">
        <f t="shared" si="57"/>
        <v>3507.4</v>
      </c>
      <c r="V137" s="41">
        <f t="shared" ref="V137:V198" si="58">J137/F137</f>
        <v>0.30553173835649788</v>
      </c>
    </row>
    <row r="138" spans="1:22" ht="33">
      <c r="A138" s="6" t="s">
        <v>230</v>
      </c>
      <c r="B138" s="26" t="s">
        <v>231</v>
      </c>
      <c r="C138" s="17" t="s">
        <v>20</v>
      </c>
      <c r="D138" s="17" t="s">
        <v>20</v>
      </c>
      <c r="E138" s="17" t="s">
        <v>20</v>
      </c>
      <c r="F138" s="18">
        <f>F140+F141+F142</f>
        <v>97207.299999999988</v>
      </c>
      <c r="G138" s="18">
        <f t="shared" ref="G138:U138" si="59">G140+G141+G142</f>
        <v>137</v>
      </c>
      <c r="H138" s="18">
        <f t="shared" si="59"/>
        <v>97070.299999999988</v>
      </c>
      <c r="I138" s="18">
        <f t="shared" si="59"/>
        <v>0</v>
      </c>
      <c r="J138" s="18">
        <f t="shared" si="59"/>
        <v>54719.39</v>
      </c>
      <c r="K138" s="18">
        <f t="shared" si="59"/>
        <v>137</v>
      </c>
      <c r="L138" s="18">
        <f t="shared" si="59"/>
        <v>54582.39</v>
      </c>
      <c r="M138" s="18">
        <f t="shared" si="59"/>
        <v>0</v>
      </c>
      <c r="N138" s="18">
        <f t="shared" si="59"/>
        <v>62758</v>
      </c>
      <c r="O138" s="18">
        <f t="shared" si="59"/>
        <v>1882.7</v>
      </c>
      <c r="P138" s="18">
        <f t="shared" si="59"/>
        <v>60875.3</v>
      </c>
      <c r="Q138" s="18">
        <f t="shared" si="59"/>
        <v>0</v>
      </c>
      <c r="R138" s="18">
        <f t="shared" si="59"/>
        <v>63505</v>
      </c>
      <c r="S138" s="18">
        <f t="shared" si="59"/>
        <v>1905.1</v>
      </c>
      <c r="T138" s="18">
        <f t="shared" si="59"/>
        <v>61599.9</v>
      </c>
      <c r="U138" s="18">
        <f t="shared" si="59"/>
        <v>0</v>
      </c>
      <c r="V138" s="42">
        <f t="shared" si="58"/>
        <v>0.56291441074898707</v>
      </c>
    </row>
    <row r="139" spans="1:22" ht="16.5">
      <c r="A139" s="8"/>
      <c r="B139" s="27" t="s">
        <v>23</v>
      </c>
      <c r="C139" s="20"/>
      <c r="D139" s="20"/>
      <c r="E139" s="20"/>
      <c r="F139" s="21"/>
      <c r="G139" s="21"/>
      <c r="H139" s="21"/>
      <c r="I139" s="21"/>
      <c r="J139" s="22"/>
      <c r="K139" s="22"/>
      <c r="L139" s="22"/>
      <c r="M139" s="22"/>
      <c r="N139" s="21"/>
      <c r="O139" s="21"/>
      <c r="P139" s="21"/>
      <c r="Q139" s="21"/>
      <c r="R139" s="21"/>
      <c r="S139" s="21"/>
      <c r="T139" s="21"/>
      <c r="U139" s="21"/>
      <c r="V139" s="43"/>
    </row>
    <row r="140" spans="1:22" ht="49.5">
      <c r="A140" s="8" t="s">
        <v>67</v>
      </c>
      <c r="B140" s="34" t="s">
        <v>232</v>
      </c>
      <c r="C140" s="20">
        <v>838</v>
      </c>
      <c r="D140" s="24" t="s">
        <v>233</v>
      </c>
      <c r="E140" s="20" t="s">
        <v>234</v>
      </c>
      <c r="F140" s="21">
        <f>G140+H140+I140</f>
        <v>4566.2</v>
      </c>
      <c r="G140" s="21">
        <v>137</v>
      </c>
      <c r="H140" s="21">
        <f>4429.2</f>
        <v>4429.2</v>
      </c>
      <c r="I140" s="21"/>
      <c r="J140" s="22">
        <f>K140+L140</f>
        <v>4234.1000000000004</v>
      </c>
      <c r="K140" s="22">
        <v>137</v>
      </c>
      <c r="L140" s="22">
        <v>4097.1000000000004</v>
      </c>
      <c r="M140" s="22"/>
      <c r="N140" s="21">
        <f>O140+P140+Q140</f>
        <v>4129.7</v>
      </c>
      <c r="O140" s="21">
        <v>123.9</v>
      </c>
      <c r="P140" s="21">
        <v>4005.8</v>
      </c>
      <c r="Q140" s="21"/>
      <c r="R140" s="21">
        <f>S140+T140+U140</f>
        <v>3989.8999999999996</v>
      </c>
      <c r="S140" s="21">
        <v>119.7</v>
      </c>
      <c r="T140" s="21">
        <v>3870.2</v>
      </c>
      <c r="U140" s="21"/>
      <c r="V140" s="43">
        <f t="shared" si="58"/>
        <v>0.92726993999386809</v>
      </c>
    </row>
    <row r="141" spans="1:22" ht="99">
      <c r="A141" s="8" t="s">
        <v>67</v>
      </c>
      <c r="B141" s="28" t="s">
        <v>235</v>
      </c>
      <c r="C141" s="20">
        <v>838</v>
      </c>
      <c r="D141" s="24" t="s">
        <v>233</v>
      </c>
      <c r="E141" s="20" t="s">
        <v>236</v>
      </c>
      <c r="F141" s="21">
        <f>G141+H141+I141</f>
        <v>11182.2</v>
      </c>
      <c r="G141" s="21">
        <f>345.8-345.8</f>
        <v>0</v>
      </c>
      <c r="H141" s="21">
        <v>11182.2</v>
      </c>
      <c r="I141" s="21"/>
      <c r="J141" s="22">
        <f>K141+L141+M141</f>
        <v>5589.17</v>
      </c>
      <c r="K141" s="22"/>
      <c r="L141" s="22">
        <f>1304.17+4285</f>
        <v>5589.17</v>
      </c>
      <c r="M141" s="22"/>
      <c r="N141" s="21">
        <f t="shared" ref="N141:N142" si="60">O141+P141+Q141</f>
        <v>11528</v>
      </c>
      <c r="O141" s="21">
        <v>345.8</v>
      </c>
      <c r="P141" s="21">
        <v>11182.2</v>
      </c>
      <c r="Q141" s="21"/>
      <c r="R141" s="21">
        <f t="shared" ref="R141:R142" si="61">S141+T141+U141</f>
        <v>12414.8</v>
      </c>
      <c r="S141" s="21">
        <v>372.4</v>
      </c>
      <c r="T141" s="21">
        <v>12042.4</v>
      </c>
      <c r="U141" s="21"/>
      <c r="V141" s="43">
        <f t="shared" si="58"/>
        <v>0.49982740426749656</v>
      </c>
    </row>
    <row r="142" spans="1:22" ht="99">
      <c r="A142" s="8" t="s">
        <v>67</v>
      </c>
      <c r="B142" s="28" t="s">
        <v>237</v>
      </c>
      <c r="C142" s="20">
        <v>838</v>
      </c>
      <c r="D142" s="24" t="s">
        <v>233</v>
      </c>
      <c r="E142" s="20" t="s">
        <v>238</v>
      </c>
      <c r="F142" s="21">
        <f>G142+H142+I142</f>
        <v>81458.899999999994</v>
      </c>
      <c r="G142" s="21">
        <f>1413-1413</f>
        <v>0</v>
      </c>
      <c r="H142" s="21">
        <v>81458.899999999994</v>
      </c>
      <c r="I142" s="21"/>
      <c r="J142" s="22">
        <f>K142+L142+M142</f>
        <v>44896.119999999995</v>
      </c>
      <c r="K142" s="22"/>
      <c r="L142" s="22">
        <f>23408.36+3991.09+17496.67</f>
        <v>44896.119999999995</v>
      </c>
      <c r="M142" s="22"/>
      <c r="N142" s="21">
        <f t="shared" si="60"/>
        <v>47100.3</v>
      </c>
      <c r="O142" s="21">
        <v>1413</v>
      </c>
      <c r="P142" s="21">
        <v>45687.3</v>
      </c>
      <c r="Q142" s="21"/>
      <c r="R142" s="21">
        <f t="shared" si="61"/>
        <v>47100.3</v>
      </c>
      <c r="S142" s="21">
        <v>1413</v>
      </c>
      <c r="T142" s="21">
        <v>45687.3</v>
      </c>
      <c r="U142" s="21"/>
      <c r="V142" s="43">
        <f t="shared" si="58"/>
        <v>0.55115058023125774</v>
      </c>
    </row>
    <row r="143" spans="1:22" ht="16.5">
      <c r="A143" s="6" t="s">
        <v>239</v>
      </c>
      <c r="B143" s="26" t="s">
        <v>240</v>
      </c>
      <c r="C143" s="17" t="s">
        <v>20</v>
      </c>
      <c r="D143" s="17" t="s">
        <v>20</v>
      </c>
      <c r="E143" s="17" t="s">
        <v>20</v>
      </c>
      <c r="F143" s="18">
        <f>F145</f>
        <v>62138.299999999996</v>
      </c>
      <c r="G143" s="18">
        <f t="shared" ref="G143:U143" si="62">G145</f>
        <v>18265</v>
      </c>
      <c r="H143" s="18">
        <f t="shared" si="62"/>
        <v>28338.7</v>
      </c>
      <c r="I143" s="18">
        <f t="shared" si="62"/>
        <v>15534.6</v>
      </c>
      <c r="J143" s="18">
        <f t="shared" si="62"/>
        <v>0</v>
      </c>
      <c r="K143" s="18">
        <f t="shared" si="62"/>
        <v>0</v>
      </c>
      <c r="L143" s="18">
        <f t="shared" si="62"/>
        <v>0</v>
      </c>
      <c r="M143" s="18">
        <f t="shared" si="62"/>
        <v>0</v>
      </c>
      <c r="N143" s="18">
        <f t="shared" si="62"/>
        <v>119834.40000000001</v>
      </c>
      <c r="O143" s="18">
        <f t="shared" si="62"/>
        <v>50037</v>
      </c>
      <c r="P143" s="18">
        <f t="shared" si="62"/>
        <v>66328.100000000006</v>
      </c>
      <c r="Q143" s="18">
        <f t="shared" si="62"/>
        <v>3469.3</v>
      </c>
      <c r="R143" s="18">
        <f t="shared" si="62"/>
        <v>250570.4</v>
      </c>
      <c r="S143" s="18">
        <f t="shared" si="62"/>
        <v>106237.1</v>
      </c>
      <c r="T143" s="18">
        <f t="shared" si="62"/>
        <v>140825.9</v>
      </c>
      <c r="U143" s="18">
        <f t="shared" si="62"/>
        <v>3507.4</v>
      </c>
      <c r="V143" s="42">
        <f t="shared" si="58"/>
        <v>0</v>
      </c>
    </row>
    <row r="144" spans="1:22" ht="16.5">
      <c r="A144" s="8"/>
      <c r="B144" s="27" t="s">
        <v>23</v>
      </c>
      <c r="C144" s="20"/>
      <c r="D144" s="20"/>
      <c r="E144" s="20"/>
      <c r="F144" s="21"/>
      <c r="G144" s="21"/>
      <c r="H144" s="21"/>
      <c r="I144" s="21"/>
      <c r="J144" s="22"/>
      <c r="K144" s="22"/>
      <c r="L144" s="22"/>
      <c r="M144" s="22"/>
      <c r="N144" s="21"/>
      <c r="O144" s="21"/>
      <c r="P144" s="21"/>
      <c r="Q144" s="21"/>
      <c r="R144" s="21"/>
      <c r="S144" s="21"/>
      <c r="T144" s="21"/>
      <c r="U144" s="21"/>
      <c r="V144" s="43"/>
    </row>
    <row r="145" spans="1:22" ht="66">
      <c r="A145" s="8" t="s">
        <v>35</v>
      </c>
      <c r="B145" s="28" t="s">
        <v>241</v>
      </c>
      <c r="C145" s="20">
        <v>828</v>
      </c>
      <c r="D145" s="24" t="s">
        <v>242</v>
      </c>
      <c r="E145" s="20" t="s">
        <v>243</v>
      </c>
      <c r="F145" s="21">
        <f>G145+H145+I145</f>
        <v>62138.299999999996</v>
      </c>
      <c r="G145" s="21">
        <v>18265</v>
      </c>
      <c r="H145" s="21">
        <v>28338.7</v>
      </c>
      <c r="I145" s="22">
        <v>15534.6</v>
      </c>
      <c r="J145" s="22"/>
      <c r="K145" s="22"/>
      <c r="L145" s="22"/>
      <c r="M145" s="22"/>
      <c r="N145" s="21">
        <f>O145+P145+Q145</f>
        <v>119834.40000000001</v>
      </c>
      <c r="O145" s="21">
        <v>50037</v>
      </c>
      <c r="P145" s="21">
        <v>66328.100000000006</v>
      </c>
      <c r="Q145" s="21">
        <v>3469.3</v>
      </c>
      <c r="R145" s="21">
        <f>S145+T145+U145</f>
        <v>250570.4</v>
      </c>
      <c r="S145" s="21">
        <v>106237.1</v>
      </c>
      <c r="T145" s="21">
        <v>140825.9</v>
      </c>
      <c r="U145" s="21">
        <v>3507.4</v>
      </c>
      <c r="V145" s="43">
        <f t="shared" si="58"/>
        <v>0</v>
      </c>
    </row>
    <row r="146" spans="1:22" ht="49.5">
      <c r="A146" s="6" t="s">
        <v>244</v>
      </c>
      <c r="B146" s="26" t="s">
        <v>245</v>
      </c>
      <c r="C146" s="17" t="s">
        <v>20</v>
      </c>
      <c r="D146" s="17" t="s">
        <v>20</v>
      </c>
      <c r="E146" s="17" t="s">
        <v>20</v>
      </c>
      <c r="F146" s="18">
        <f t="shared" ref="F146:U146" si="63">SUM(F148:F148)</f>
        <v>10000</v>
      </c>
      <c r="G146" s="18">
        <f t="shared" si="63"/>
        <v>10000</v>
      </c>
      <c r="H146" s="18">
        <f t="shared" si="63"/>
        <v>0</v>
      </c>
      <c r="I146" s="18">
        <f t="shared" si="63"/>
        <v>0</v>
      </c>
      <c r="J146" s="18">
        <f t="shared" si="63"/>
        <v>0</v>
      </c>
      <c r="K146" s="18">
        <f t="shared" si="63"/>
        <v>0</v>
      </c>
      <c r="L146" s="18">
        <f t="shared" si="63"/>
        <v>0</v>
      </c>
      <c r="M146" s="18">
        <f t="shared" si="63"/>
        <v>0</v>
      </c>
      <c r="N146" s="18">
        <f t="shared" si="63"/>
        <v>0</v>
      </c>
      <c r="O146" s="18">
        <f t="shared" si="63"/>
        <v>0</v>
      </c>
      <c r="P146" s="18">
        <f t="shared" si="63"/>
        <v>0</v>
      </c>
      <c r="Q146" s="18">
        <f t="shared" si="63"/>
        <v>0</v>
      </c>
      <c r="R146" s="18">
        <f t="shared" si="63"/>
        <v>0</v>
      </c>
      <c r="S146" s="18">
        <f t="shared" si="63"/>
        <v>0</v>
      </c>
      <c r="T146" s="18">
        <f t="shared" si="63"/>
        <v>0</v>
      </c>
      <c r="U146" s="18">
        <f t="shared" si="63"/>
        <v>0</v>
      </c>
      <c r="V146" s="42">
        <f t="shared" si="58"/>
        <v>0</v>
      </c>
    </row>
    <row r="147" spans="1:22" ht="16.5">
      <c r="A147" s="8"/>
      <c r="B147" s="27" t="s">
        <v>23</v>
      </c>
      <c r="C147" s="20"/>
      <c r="D147" s="20"/>
      <c r="E147" s="20"/>
      <c r="F147" s="21"/>
      <c r="G147" s="21"/>
      <c r="H147" s="21"/>
      <c r="I147" s="21"/>
      <c r="J147" s="22"/>
      <c r="K147" s="22"/>
      <c r="L147" s="22"/>
      <c r="M147" s="22"/>
      <c r="N147" s="21"/>
      <c r="O147" s="21"/>
      <c r="P147" s="21"/>
      <c r="Q147" s="21"/>
      <c r="R147" s="21"/>
      <c r="S147" s="21"/>
      <c r="T147" s="21"/>
      <c r="U147" s="21"/>
      <c r="V147" s="43"/>
    </row>
    <row r="148" spans="1:22" ht="82.5">
      <c r="A148" s="8"/>
      <c r="B148" s="28" t="s">
        <v>246</v>
      </c>
      <c r="C148" s="20">
        <v>810</v>
      </c>
      <c r="D148" s="24" t="s">
        <v>247</v>
      </c>
      <c r="E148" s="20" t="s">
        <v>248</v>
      </c>
      <c r="F148" s="21">
        <f>G148+H148+I148</f>
        <v>10000</v>
      </c>
      <c r="G148" s="21">
        <v>10000</v>
      </c>
      <c r="H148" s="21"/>
      <c r="I148" s="21"/>
      <c r="J148" s="22"/>
      <c r="K148" s="22"/>
      <c r="L148" s="22"/>
      <c r="M148" s="22"/>
      <c r="N148" s="21"/>
      <c r="O148" s="21"/>
      <c r="P148" s="21"/>
      <c r="Q148" s="21"/>
      <c r="R148" s="21"/>
      <c r="S148" s="21"/>
      <c r="T148" s="21"/>
      <c r="U148" s="21"/>
      <c r="V148" s="43">
        <f t="shared" si="58"/>
        <v>0</v>
      </c>
    </row>
    <row r="149" spans="1:22" ht="33">
      <c r="A149" s="6" t="s">
        <v>249</v>
      </c>
      <c r="B149" s="26" t="s">
        <v>250</v>
      </c>
      <c r="C149" s="17" t="s">
        <v>20</v>
      </c>
      <c r="D149" s="17" t="s">
        <v>20</v>
      </c>
      <c r="E149" s="17" t="s">
        <v>20</v>
      </c>
      <c r="F149" s="18">
        <f>F151</f>
        <v>9750</v>
      </c>
      <c r="G149" s="18">
        <f t="shared" ref="G149:U149" si="64">G151</f>
        <v>9750</v>
      </c>
      <c r="H149" s="18">
        <f t="shared" si="64"/>
        <v>0</v>
      </c>
      <c r="I149" s="18">
        <f t="shared" si="64"/>
        <v>0</v>
      </c>
      <c r="J149" s="18">
        <f t="shared" si="64"/>
        <v>0</v>
      </c>
      <c r="K149" s="18">
        <f t="shared" si="64"/>
        <v>0</v>
      </c>
      <c r="L149" s="18">
        <f t="shared" si="64"/>
        <v>0</v>
      </c>
      <c r="M149" s="18">
        <f t="shared" si="64"/>
        <v>0</v>
      </c>
      <c r="N149" s="18">
        <f t="shared" si="64"/>
        <v>1762.2</v>
      </c>
      <c r="O149" s="18">
        <f t="shared" si="64"/>
        <v>1762.2</v>
      </c>
      <c r="P149" s="18">
        <f t="shared" si="64"/>
        <v>0</v>
      </c>
      <c r="Q149" s="18">
        <f t="shared" si="64"/>
        <v>0</v>
      </c>
      <c r="R149" s="18">
        <f t="shared" si="64"/>
        <v>1762.2</v>
      </c>
      <c r="S149" s="18">
        <f t="shared" si="64"/>
        <v>1762.2</v>
      </c>
      <c r="T149" s="18">
        <f t="shared" si="64"/>
        <v>0</v>
      </c>
      <c r="U149" s="18">
        <f t="shared" si="64"/>
        <v>0</v>
      </c>
      <c r="V149" s="42">
        <f t="shared" si="58"/>
        <v>0</v>
      </c>
    </row>
    <row r="150" spans="1:22" ht="16.5">
      <c r="A150" s="8"/>
      <c r="B150" s="27" t="s">
        <v>23</v>
      </c>
      <c r="C150" s="20"/>
      <c r="D150" s="20"/>
      <c r="E150" s="20"/>
      <c r="F150" s="21"/>
      <c r="G150" s="21"/>
      <c r="H150" s="21"/>
      <c r="I150" s="21"/>
      <c r="J150" s="22"/>
      <c r="K150" s="22"/>
      <c r="L150" s="22"/>
      <c r="M150" s="22"/>
      <c r="N150" s="21"/>
      <c r="O150" s="21"/>
      <c r="P150" s="21"/>
      <c r="Q150" s="21"/>
      <c r="R150" s="21"/>
      <c r="S150" s="21"/>
      <c r="T150" s="21"/>
      <c r="U150" s="21"/>
      <c r="V150" s="43"/>
    </row>
    <row r="151" spans="1:22" ht="82.5">
      <c r="A151" s="25"/>
      <c r="B151" s="28" t="s">
        <v>251</v>
      </c>
      <c r="C151" s="20">
        <v>810</v>
      </c>
      <c r="D151" s="24" t="s">
        <v>247</v>
      </c>
      <c r="E151" s="20" t="s">
        <v>252</v>
      </c>
      <c r="F151" s="21">
        <f>G151</f>
        <v>9750</v>
      </c>
      <c r="G151" s="21">
        <v>9750</v>
      </c>
      <c r="H151" s="21"/>
      <c r="I151" s="21"/>
      <c r="J151" s="22"/>
      <c r="K151" s="22"/>
      <c r="L151" s="22"/>
      <c r="M151" s="22"/>
      <c r="N151" s="21">
        <f>O151</f>
        <v>1762.2</v>
      </c>
      <c r="O151" s="21">
        <v>1762.2</v>
      </c>
      <c r="P151" s="21"/>
      <c r="Q151" s="21"/>
      <c r="R151" s="21">
        <f>S151</f>
        <v>1762.2</v>
      </c>
      <c r="S151" s="21">
        <v>1762.2</v>
      </c>
      <c r="T151" s="21"/>
      <c r="U151" s="21"/>
      <c r="V151" s="43">
        <f t="shared" si="58"/>
        <v>0</v>
      </c>
    </row>
    <row r="152" spans="1:22" ht="33">
      <c r="A152" s="11" t="s">
        <v>253</v>
      </c>
      <c r="B152" s="33" t="s">
        <v>254</v>
      </c>
      <c r="C152" s="13" t="s">
        <v>20</v>
      </c>
      <c r="D152" s="13" t="s">
        <v>20</v>
      </c>
      <c r="E152" s="13" t="s">
        <v>20</v>
      </c>
      <c r="F152" s="14">
        <f>F153</f>
        <v>2560447.1800000002</v>
      </c>
      <c r="G152" s="14">
        <f t="shared" ref="G152:U152" si="65">G153</f>
        <v>523000</v>
      </c>
      <c r="H152" s="14">
        <f t="shared" si="65"/>
        <v>1768568.7</v>
      </c>
      <c r="I152" s="14">
        <f t="shared" si="65"/>
        <v>268878.48</v>
      </c>
      <c r="J152" s="14">
        <f t="shared" si="65"/>
        <v>2155578.0300000003</v>
      </c>
      <c r="K152" s="14">
        <f t="shared" si="65"/>
        <v>492119.31</v>
      </c>
      <c r="L152" s="14">
        <f t="shared" si="65"/>
        <v>1503018.33</v>
      </c>
      <c r="M152" s="14">
        <f t="shared" si="65"/>
        <v>160440.39000000001</v>
      </c>
      <c r="N152" s="14">
        <f t="shared" si="65"/>
        <v>1456164.47</v>
      </c>
      <c r="O152" s="14">
        <f t="shared" si="65"/>
        <v>370500</v>
      </c>
      <c r="P152" s="14">
        <f t="shared" si="65"/>
        <v>680000</v>
      </c>
      <c r="Q152" s="14">
        <f t="shared" si="65"/>
        <v>405664.47</v>
      </c>
      <c r="R152" s="14">
        <f t="shared" si="65"/>
        <v>1455750.6</v>
      </c>
      <c r="S152" s="14">
        <f t="shared" si="65"/>
        <v>340000</v>
      </c>
      <c r="T152" s="14">
        <f t="shared" si="65"/>
        <v>680000</v>
      </c>
      <c r="U152" s="14">
        <f t="shared" si="65"/>
        <v>435750.6</v>
      </c>
      <c r="V152" s="41">
        <f t="shared" si="58"/>
        <v>0.84187560940038608</v>
      </c>
    </row>
    <row r="153" spans="1:22" ht="33">
      <c r="A153" s="6" t="s">
        <v>255</v>
      </c>
      <c r="B153" s="26" t="s">
        <v>256</v>
      </c>
      <c r="C153" s="17" t="s">
        <v>20</v>
      </c>
      <c r="D153" s="35" t="s">
        <v>20</v>
      </c>
      <c r="E153" s="35" t="s">
        <v>20</v>
      </c>
      <c r="F153" s="36">
        <f>F155</f>
        <v>2560447.1800000002</v>
      </c>
      <c r="G153" s="36">
        <f t="shared" ref="G153:U153" si="66">G155</f>
        <v>523000</v>
      </c>
      <c r="H153" s="36">
        <f t="shared" si="66"/>
        <v>1768568.7</v>
      </c>
      <c r="I153" s="36">
        <f t="shared" si="66"/>
        <v>268878.48</v>
      </c>
      <c r="J153" s="36">
        <f t="shared" si="66"/>
        <v>2155578.0300000003</v>
      </c>
      <c r="K153" s="36">
        <f t="shared" si="66"/>
        <v>492119.31</v>
      </c>
      <c r="L153" s="36">
        <f t="shared" si="66"/>
        <v>1503018.33</v>
      </c>
      <c r="M153" s="36">
        <f t="shared" si="66"/>
        <v>160440.39000000001</v>
      </c>
      <c r="N153" s="36">
        <f t="shared" si="66"/>
        <v>1456164.47</v>
      </c>
      <c r="O153" s="36">
        <f t="shared" si="66"/>
        <v>370500</v>
      </c>
      <c r="P153" s="36">
        <f t="shared" si="66"/>
        <v>680000</v>
      </c>
      <c r="Q153" s="36">
        <f t="shared" si="66"/>
        <v>405664.47</v>
      </c>
      <c r="R153" s="36">
        <f t="shared" si="66"/>
        <v>1455750.6</v>
      </c>
      <c r="S153" s="36">
        <f t="shared" si="66"/>
        <v>340000</v>
      </c>
      <c r="T153" s="36">
        <f t="shared" si="66"/>
        <v>680000</v>
      </c>
      <c r="U153" s="36">
        <f t="shared" si="66"/>
        <v>435750.6</v>
      </c>
      <c r="V153" s="45">
        <f t="shared" si="58"/>
        <v>0.84187560940038608</v>
      </c>
    </row>
    <row r="154" spans="1:22" ht="16.5">
      <c r="A154" s="8"/>
      <c r="B154" s="27" t="s">
        <v>23</v>
      </c>
      <c r="C154" s="20"/>
      <c r="D154" s="29"/>
      <c r="E154" s="29"/>
      <c r="F154" s="22"/>
      <c r="G154" s="22"/>
      <c r="H154" s="22"/>
      <c r="I154" s="22"/>
      <c r="J154" s="22"/>
      <c r="K154" s="22"/>
      <c r="L154" s="22"/>
      <c r="M154" s="22"/>
      <c r="N154" s="21"/>
      <c r="O154" s="21"/>
      <c r="P154" s="21"/>
      <c r="Q154" s="21"/>
      <c r="R154" s="21"/>
      <c r="S154" s="21"/>
      <c r="T154" s="21"/>
      <c r="U154" s="21"/>
      <c r="V154" s="43"/>
    </row>
    <row r="155" spans="1:22" ht="82.5">
      <c r="A155" s="8" t="s">
        <v>24</v>
      </c>
      <c r="B155" s="28" t="s">
        <v>257</v>
      </c>
      <c r="C155" s="20">
        <v>822</v>
      </c>
      <c r="D155" s="24" t="s">
        <v>258</v>
      </c>
      <c r="E155" s="29" t="s">
        <v>259</v>
      </c>
      <c r="F155" s="22">
        <f>G155+H155+I155</f>
        <v>2560447.1800000002</v>
      </c>
      <c r="G155" s="22">
        <f>450000+93000-20000</f>
        <v>523000</v>
      </c>
      <c r="H155" s="22">
        <v>1768568.7</v>
      </c>
      <c r="I155" s="22">
        <v>268878.48</v>
      </c>
      <c r="J155" s="22">
        <f>L155+K155+M155</f>
        <v>2155578.0300000003</v>
      </c>
      <c r="K155" s="22">
        <f>492119.31</f>
        <v>492119.31</v>
      </c>
      <c r="L155" s="22">
        <f>1434707.23+3481.56+64829.54</f>
        <v>1503018.33</v>
      </c>
      <c r="M155" s="22">
        <v>160440.39000000001</v>
      </c>
      <c r="N155" s="21">
        <f>O155+P155+Q155</f>
        <v>1456164.47</v>
      </c>
      <c r="O155" s="21">
        <f>340000+30500</f>
        <v>370500</v>
      </c>
      <c r="P155" s="21">
        <v>680000</v>
      </c>
      <c r="Q155" s="21">
        <v>405664.47</v>
      </c>
      <c r="R155" s="21">
        <f>S155+T155+U155</f>
        <v>1455750.6</v>
      </c>
      <c r="S155" s="21">
        <v>340000</v>
      </c>
      <c r="T155" s="21">
        <v>680000</v>
      </c>
      <c r="U155" s="21">
        <v>435750.6</v>
      </c>
      <c r="V155" s="43">
        <f t="shared" si="58"/>
        <v>0.84187560940038608</v>
      </c>
    </row>
    <row r="156" spans="1:22" ht="16.5">
      <c r="A156" s="11" t="s">
        <v>260</v>
      </c>
      <c r="B156" s="12" t="s">
        <v>261</v>
      </c>
      <c r="C156" s="13" t="s">
        <v>20</v>
      </c>
      <c r="D156" s="13" t="s">
        <v>20</v>
      </c>
      <c r="E156" s="13" t="s">
        <v>20</v>
      </c>
      <c r="F156" s="14">
        <f>F157+F161+F164</f>
        <v>147964.73000000001</v>
      </c>
      <c r="G156" s="14">
        <f t="shared" ref="G156:U156" si="67">G157+G161+G164</f>
        <v>45933.210000000006</v>
      </c>
      <c r="H156" s="14">
        <f t="shared" si="67"/>
        <v>86496.9</v>
      </c>
      <c r="I156" s="14">
        <f>I157+I161+I164</f>
        <v>15534.619999999999</v>
      </c>
      <c r="J156" s="14">
        <f t="shared" si="67"/>
        <v>93407.95</v>
      </c>
      <c r="K156" s="14">
        <f t="shared" si="67"/>
        <v>40076.94</v>
      </c>
      <c r="L156" s="14">
        <f t="shared" si="67"/>
        <v>48292.83</v>
      </c>
      <c r="M156" s="14">
        <f t="shared" si="67"/>
        <v>5038.18</v>
      </c>
      <c r="N156" s="14">
        <f t="shared" si="67"/>
        <v>67039.78</v>
      </c>
      <c r="O156" s="14">
        <f t="shared" si="67"/>
        <v>33315.08</v>
      </c>
      <c r="P156" s="14">
        <f t="shared" si="67"/>
        <v>33218.199999999997</v>
      </c>
      <c r="Q156" s="14">
        <f t="shared" si="67"/>
        <v>506.5</v>
      </c>
      <c r="R156" s="14">
        <f t="shared" si="67"/>
        <v>68200.600000000006</v>
      </c>
      <c r="S156" s="14">
        <f t="shared" si="67"/>
        <v>35664.1</v>
      </c>
      <c r="T156" s="14">
        <f t="shared" si="67"/>
        <v>32536.5</v>
      </c>
      <c r="U156" s="14">
        <f t="shared" si="67"/>
        <v>0</v>
      </c>
      <c r="V156" s="41">
        <f t="shared" si="58"/>
        <v>0.63128523939455028</v>
      </c>
    </row>
    <row r="157" spans="1:22" ht="33">
      <c r="A157" s="6" t="s">
        <v>262</v>
      </c>
      <c r="B157" s="26" t="s">
        <v>263</v>
      </c>
      <c r="C157" s="17" t="s">
        <v>20</v>
      </c>
      <c r="D157" s="17" t="s">
        <v>20</v>
      </c>
      <c r="E157" s="17" t="s">
        <v>20</v>
      </c>
      <c r="F157" s="18">
        <f>F159+F160</f>
        <v>101260.82</v>
      </c>
      <c r="G157" s="18">
        <f t="shared" ref="G157:T157" si="68">G159+G160</f>
        <v>7774.3</v>
      </c>
      <c r="H157" s="18">
        <f t="shared" si="68"/>
        <v>77956.899999999994</v>
      </c>
      <c r="I157" s="18">
        <f t="shared" si="68"/>
        <v>15529.619999999999</v>
      </c>
      <c r="J157" s="18">
        <f t="shared" si="68"/>
        <v>47295.17</v>
      </c>
      <c r="K157" s="18">
        <f t="shared" si="68"/>
        <v>2434.16</v>
      </c>
      <c r="L157" s="18">
        <f t="shared" si="68"/>
        <v>39827.83</v>
      </c>
      <c r="M157" s="18">
        <f t="shared" si="68"/>
        <v>5033.18</v>
      </c>
      <c r="N157" s="18">
        <f t="shared" si="68"/>
        <v>38039.78</v>
      </c>
      <c r="O157" s="18">
        <f t="shared" si="68"/>
        <v>4315.08</v>
      </c>
      <c r="P157" s="18">
        <f t="shared" si="68"/>
        <v>33218.199999999997</v>
      </c>
      <c r="Q157" s="18">
        <f t="shared" si="68"/>
        <v>506.5</v>
      </c>
      <c r="R157" s="18">
        <f t="shared" si="68"/>
        <v>39200.6</v>
      </c>
      <c r="S157" s="18">
        <f t="shared" si="68"/>
        <v>6664.1</v>
      </c>
      <c r="T157" s="18">
        <f t="shared" si="68"/>
        <v>32536.5</v>
      </c>
      <c r="U157" s="18">
        <f t="shared" ref="U157" si="69">U159</f>
        <v>0</v>
      </c>
      <c r="V157" s="42">
        <f t="shared" si="58"/>
        <v>0.46706287782382166</v>
      </c>
    </row>
    <row r="158" spans="1:22" ht="16.5">
      <c r="A158" s="8"/>
      <c r="B158" s="27" t="s">
        <v>23</v>
      </c>
      <c r="C158" s="20"/>
      <c r="D158" s="29"/>
      <c r="E158" s="29"/>
      <c r="F158" s="22"/>
      <c r="G158" s="22"/>
      <c r="H158" s="22"/>
      <c r="I158" s="22"/>
      <c r="J158" s="22"/>
      <c r="K158" s="22"/>
      <c r="L158" s="22"/>
      <c r="M158" s="22"/>
      <c r="N158" s="21"/>
      <c r="O158" s="21"/>
      <c r="P158" s="21"/>
      <c r="Q158" s="21"/>
      <c r="R158" s="21"/>
      <c r="S158" s="21"/>
      <c r="T158" s="21"/>
      <c r="U158" s="21"/>
      <c r="V158" s="43"/>
    </row>
    <row r="159" spans="1:22" ht="49.5">
      <c r="A159" s="8" t="s">
        <v>35</v>
      </c>
      <c r="B159" s="28" t="s">
        <v>264</v>
      </c>
      <c r="C159" s="20">
        <v>821</v>
      </c>
      <c r="D159" s="24" t="s">
        <v>265</v>
      </c>
      <c r="E159" s="29" t="s">
        <v>266</v>
      </c>
      <c r="F159" s="22">
        <f>G159+H159+I159</f>
        <v>59949.200000000004</v>
      </c>
      <c r="G159" s="22">
        <v>7774.3</v>
      </c>
      <c r="H159" s="22">
        <v>37956.9</v>
      </c>
      <c r="I159" s="22">
        <f>14218</f>
        <v>14218</v>
      </c>
      <c r="J159" s="22">
        <f>K159+L159+M159</f>
        <v>18768.78</v>
      </c>
      <c r="K159" s="22">
        <f>2212.91+221.25</f>
        <v>2434.16</v>
      </c>
      <c r="L159" s="22">
        <f>10804.22+1080.22</f>
        <v>11884.439999999999</v>
      </c>
      <c r="M159" s="22">
        <v>4450.18</v>
      </c>
      <c r="N159" s="21">
        <f>O159+P159+Q159</f>
        <v>37533.279999999999</v>
      </c>
      <c r="O159" s="21">
        <v>4315.08</v>
      </c>
      <c r="P159" s="21">
        <v>33218.199999999997</v>
      </c>
      <c r="Q159" s="21"/>
      <c r="R159" s="21">
        <f>S159+T159+U159</f>
        <v>39200.6</v>
      </c>
      <c r="S159" s="21">
        <v>6664.1</v>
      </c>
      <c r="T159" s="21">
        <v>32536.5</v>
      </c>
      <c r="U159" s="21"/>
      <c r="V159" s="43">
        <f t="shared" si="58"/>
        <v>0.31307807276827709</v>
      </c>
    </row>
    <row r="160" spans="1:22" ht="66">
      <c r="A160" s="8" t="s">
        <v>24</v>
      </c>
      <c r="B160" s="28" t="s">
        <v>344</v>
      </c>
      <c r="C160" s="20">
        <v>814</v>
      </c>
      <c r="D160" s="24" t="s">
        <v>265</v>
      </c>
      <c r="E160" s="29" t="s">
        <v>267</v>
      </c>
      <c r="F160" s="22">
        <f>H160+I160</f>
        <v>41311.620000000003</v>
      </c>
      <c r="G160" s="22"/>
      <c r="H160" s="22">
        <v>40000</v>
      </c>
      <c r="I160" s="22">
        <v>1311.62</v>
      </c>
      <c r="J160" s="22">
        <f>K160+L160+M160</f>
        <v>28526.39</v>
      </c>
      <c r="K160" s="22"/>
      <c r="L160" s="22">
        <f>5596.58+15828.62+4281.98+2071.61+164.6</f>
        <v>27943.39</v>
      </c>
      <c r="M160" s="22">
        <v>583</v>
      </c>
      <c r="N160" s="21">
        <f>SUM(O160:Q160)</f>
        <v>506.5</v>
      </c>
      <c r="O160" s="21"/>
      <c r="P160" s="21"/>
      <c r="Q160" s="21">
        <v>506.5</v>
      </c>
      <c r="R160" s="21"/>
      <c r="S160" s="21"/>
      <c r="T160" s="21"/>
      <c r="U160" s="21"/>
      <c r="V160" s="43">
        <f t="shared" si="58"/>
        <v>0.69051734112581398</v>
      </c>
    </row>
    <row r="161" spans="1:22" ht="16.5">
      <c r="A161" s="6" t="s">
        <v>268</v>
      </c>
      <c r="B161" s="26" t="s">
        <v>269</v>
      </c>
      <c r="C161" s="17" t="s">
        <v>20</v>
      </c>
      <c r="D161" s="17" t="s">
        <v>20</v>
      </c>
      <c r="E161" s="17" t="s">
        <v>20</v>
      </c>
      <c r="F161" s="18">
        <f>F163</f>
        <v>8545</v>
      </c>
      <c r="G161" s="18">
        <f t="shared" ref="G161:U161" si="70">G163</f>
        <v>0</v>
      </c>
      <c r="H161" s="18">
        <f t="shared" si="70"/>
        <v>8540</v>
      </c>
      <c r="I161" s="18">
        <f t="shared" si="70"/>
        <v>5</v>
      </c>
      <c r="J161" s="18">
        <f t="shared" si="70"/>
        <v>8470</v>
      </c>
      <c r="K161" s="18">
        <f t="shared" si="70"/>
        <v>0</v>
      </c>
      <c r="L161" s="18">
        <f t="shared" si="70"/>
        <v>8465</v>
      </c>
      <c r="M161" s="18">
        <f t="shared" si="70"/>
        <v>5</v>
      </c>
      <c r="N161" s="18">
        <f t="shared" si="70"/>
        <v>0</v>
      </c>
      <c r="O161" s="18">
        <f t="shared" si="70"/>
        <v>0</v>
      </c>
      <c r="P161" s="18">
        <f t="shared" si="70"/>
        <v>0</v>
      </c>
      <c r="Q161" s="18">
        <f t="shared" si="70"/>
        <v>0</v>
      </c>
      <c r="R161" s="18">
        <f t="shared" si="70"/>
        <v>0</v>
      </c>
      <c r="S161" s="18">
        <f t="shared" si="70"/>
        <v>0</v>
      </c>
      <c r="T161" s="18">
        <f t="shared" si="70"/>
        <v>0</v>
      </c>
      <c r="U161" s="18">
        <f t="shared" si="70"/>
        <v>0</v>
      </c>
      <c r="V161" s="42">
        <f t="shared" si="58"/>
        <v>0.99122293739028666</v>
      </c>
    </row>
    <row r="162" spans="1:22" ht="16.5">
      <c r="A162" s="8"/>
      <c r="B162" s="37" t="s">
        <v>23</v>
      </c>
      <c r="C162" s="20"/>
      <c r="D162" s="24"/>
      <c r="E162" s="29"/>
      <c r="F162" s="22"/>
      <c r="G162" s="22"/>
      <c r="H162" s="22"/>
      <c r="I162" s="22"/>
      <c r="J162" s="22"/>
      <c r="K162" s="22"/>
      <c r="L162" s="22"/>
      <c r="M162" s="22"/>
      <c r="N162" s="21"/>
      <c r="O162" s="21"/>
      <c r="P162" s="21"/>
      <c r="Q162" s="21"/>
      <c r="R162" s="21"/>
      <c r="S162" s="21"/>
      <c r="T162" s="21"/>
      <c r="U162" s="21"/>
      <c r="V162" s="43"/>
    </row>
    <row r="163" spans="1:22" ht="49.5">
      <c r="A163" s="8" t="s">
        <v>24</v>
      </c>
      <c r="B163" s="28" t="s">
        <v>270</v>
      </c>
      <c r="C163" s="20">
        <v>814</v>
      </c>
      <c r="D163" s="24" t="s">
        <v>265</v>
      </c>
      <c r="E163" s="29" t="s">
        <v>271</v>
      </c>
      <c r="F163" s="22">
        <f>H163+I163</f>
        <v>8545</v>
      </c>
      <c r="G163" s="22"/>
      <c r="H163" s="22">
        <v>8540</v>
      </c>
      <c r="I163" s="22">
        <v>5</v>
      </c>
      <c r="J163" s="22">
        <f>L163+M163+K163</f>
        <v>8470</v>
      </c>
      <c r="K163" s="22"/>
      <c r="L163" s="22">
        <f>5600+2554+311</f>
        <v>8465</v>
      </c>
      <c r="M163" s="22">
        <v>5</v>
      </c>
      <c r="N163" s="21"/>
      <c r="O163" s="21"/>
      <c r="P163" s="21"/>
      <c r="Q163" s="21"/>
      <c r="R163" s="21"/>
      <c r="S163" s="21"/>
      <c r="T163" s="21"/>
      <c r="U163" s="21"/>
      <c r="V163" s="43">
        <f t="shared" si="58"/>
        <v>0.99122293739028666</v>
      </c>
    </row>
    <row r="164" spans="1:22" ht="16.5">
      <c r="A164" s="6" t="s">
        <v>272</v>
      </c>
      <c r="B164" s="26" t="s">
        <v>273</v>
      </c>
      <c r="C164" s="17" t="s">
        <v>20</v>
      </c>
      <c r="D164" s="17" t="s">
        <v>20</v>
      </c>
      <c r="E164" s="17" t="s">
        <v>20</v>
      </c>
      <c r="F164" s="18">
        <f>F166+F167</f>
        <v>38158.910000000003</v>
      </c>
      <c r="G164" s="18">
        <f t="shared" ref="G164:U164" si="71">G166+G167</f>
        <v>38158.910000000003</v>
      </c>
      <c r="H164" s="18">
        <f t="shared" si="71"/>
        <v>0</v>
      </c>
      <c r="I164" s="18">
        <f t="shared" si="71"/>
        <v>0</v>
      </c>
      <c r="J164" s="18">
        <f t="shared" si="71"/>
        <v>37642.78</v>
      </c>
      <c r="K164" s="18">
        <f t="shared" si="71"/>
        <v>37642.78</v>
      </c>
      <c r="L164" s="18">
        <f t="shared" si="71"/>
        <v>0</v>
      </c>
      <c r="M164" s="18">
        <f t="shared" si="71"/>
        <v>0</v>
      </c>
      <c r="N164" s="18">
        <f t="shared" si="71"/>
        <v>29000</v>
      </c>
      <c r="O164" s="18">
        <f t="shared" si="71"/>
        <v>29000</v>
      </c>
      <c r="P164" s="18">
        <f t="shared" si="71"/>
        <v>0</v>
      </c>
      <c r="Q164" s="18">
        <f t="shared" si="71"/>
        <v>0</v>
      </c>
      <c r="R164" s="18">
        <f t="shared" si="71"/>
        <v>29000</v>
      </c>
      <c r="S164" s="18">
        <f t="shared" si="71"/>
        <v>29000</v>
      </c>
      <c r="T164" s="18">
        <f t="shared" si="71"/>
        <v>0</v>
      </c>
      <c r="U164" s="18">
        <f t="shared" si="71"/>
        <v>0</v>
      </c>
      <c r="V164" s="42">
        <f t="shared" si="58"/>
        <v>0.98647419436246986</v>
      </c>
    </row>
    <row r="165" spans="1:22" ht="16.5">
      <c r="A165" s="8"/>
      <c r="B165" s="28" t="s">
        <v>23</v>
      </c>
      <c r="C165" s="20"/>
      <c r="D165" s="24"/>
      <c r="E165" s="29"/>
      <c r="F165" s="22"/>
      <c r="G165" s="22"/>
      <c r="H165" s="22"/>
      <c r="I165" s="22"/>
      <c r="J165" s="22"/>
      <c r="K165" s="22"/>
      <c r="L165" s="22"/>
      <c r="M165" s="22"/>
      <c r="N165" s="21"/>
      <c r="O165" s="21"/>
      <c r="P165" s="21"/>
      <c r="Q165" s="21"/>
      <c r="R165" s="21"/>
      <c r="S165" s="21"/>
      <c r="T165" s="21"/>
      <c r="U165" s="21"/>
      <c r="V165" s="43"/>
    </row>
    <row r="166" spans="1:22" ht="49.5">
      <c r="A166" s="8"/>
      <c r="B166" s="28" t="s">
        <v>274</v>
      </c>
      <c r="C166" s="20">
        <v>814</v>
      </c>
      <c r="D166" s="24" t="s">
        <v>265</v>
      </c>
      <c r="E166" s="29" t="s">
        <v>275</v>
      </c>
      <c r="F166" s="22">
        <f>G166</f>
        <v>11658.91</v>
      </c>
      <c r="G166" s="22">
        <v>11658.91</v>
      </c>
      <c r="H166" s="22"/>
      <c r="I166" s="22"/>
      <c r="J166" s="22">
        <f>K166</f>
        <v>11658.91</v>
      </c>
      <c r="K166" s="22">
        <v>11658.91</v>
      </c>
      <c r="L166" s="22"/>
      <c r="M166" s="22"/>
      <c r="N166" s="21">
        <f>O166</f>
        <v>13000</v>
      </c>
      <c r="O166" s="21">
        <v>13000</v>
      </c>
      <c r="P166" s="21"/>
      <c r="Q166" s="21"/>
      <c r="R166" s="21">
        <f>S166</f>
        <v>13000</v>
      </c>
      <c r="S166" s="21">
        <v>13000</v>
      </c>
      <c r="T166" s="21"/>
      <c r="U166" s="21"/>
      <c r="V166" s="43">
        <f t="shared" si="58"/>
        <v>1</v>
      </c>
    </row>
    <row r="167" spans="1:22" ht="49.5">
      <c r="A167" s="8"/>
      <c r="B167" s="28" t="s">
        <v>276</v>
      </c>
      <c r="C167" s="20">
        <v>814</v>
      </c>
      <c r="D167" s="24" t="s">
        <v>265</v>
      </c>
      <c r="E167" s="29" t="s">
        <v>277</v>
      </c>
      <c r="F167" s="22">
        <f>G167</f>
        <v>26500</v>
      </c>
      <c r="G167" s="22">
        <v>26500</v>
      </c>
      <c r="H167" s="22"/>
      <c r="I167" s="22"/>
      <c r="J167" s="22">
        <f>K167+L167+M167</f>
        <v>25983.870000000003</v>
      </c>
      <c r="K167" s="22">
        <f>25651.63+332.24</f>
        <v>25983.870000000003</v>
      </c>
      <c r="L167" s="22"/>
      <c r="M167" s="22"/>
      <c r="N167" s="21">
        <f>O167</f>
        <v>16000</v>
      </c>
      <c r="O167" s="21">
        <v>16000</v>
      </c>
      <c r="P167" s="21"/>
      <c r="Q167" s="21"/>
      <c r="R167" s="21">
        <f>S167</f>
        <v>16000</v>
      </c>
      <c r="S167" s="21">
        <v>16000</v>
      </c>
      <c r="T167" s="21"/>
      <c r="U167" s="21"/>
      <c r="V167" s="43">
        <f t="shared" si="58"/>
        <v>0.98052339622641516</v>
      </c>
    </row>
    <row r="168" spans="1:22" ht="66">
      <c r="A168" s="11" t="s">
        <v>278</v>
      </c>
      <c r="B168" s="33" t="s">
        <v>279</v>
      </c>
      <c r="C168" s="13" t="s">
        <v>20</v>
      </c>
      <c r="D168" s="13" t="s">
        <v>20</v>
      </c>
      <c r="E168" s="13" t="s">
        <v>20</v>
      </c>
      <c r="F168" s="14">
        <f t="shared" ref="F168:U168" si="72">F169+F173+F179+F182</f>
        <v>209706.91000000003</v>
      </c>
      <c r="G168" s="14">
        <f t="shared" si="72"/>
        <v>7522.09</v>
      </c>
      <c r="H168" s="14">
        <f t="shared" si="72"/>
        <v>201642.22</v>
      </c>
      <c r="I168" s="14">
        <f t="shared" si="72"/>
        <v>542.6</v>
      </c>
      <c r="J168" s="14">
        <f t="shared" si="72"/>
        <v>197001.02000000002</v>
      </c>
      <c r="K168" s="14">
        <f t="shared" si="72"/>
        <v>6140.8</v>
      </c>
      <c r="L168" s="14">
        <f t="shared" si="72"/>
        <v>190860.22</v>
      </c>
      <c r="M168" s="14">
        <f t="shared" si="72"/>
        <v>0</v>
      </c>
      <c r="N168" s="14">
        <f t="shared" si="72"/>
        <v>83994.53</v>
      </c>
      <c r="O168" s="14">
        <f t="shared" si="72"/>
        <v>3767.03</v>
      </c>
      <c r="P168" s="14">
        <f t="shared" si="72"/>
        <v>80227.5</v>
      </c>
      <c r="Q168" s="14">
        <f t="shared" si="72"/>
        <v>0</v>
      </c>
      <c r="R168" s="14">
        <f t="shared" si="72"/>
        <v>130919.61000000002</v>
      </c>
      <c r="S168" s="14">
        <f t="shared" si="72"/>
        <v>5174.7100000000009</v>
      </c>
      <c r="T168" s="14">
        <f t="shared" si="72"/>
        <v>125744.9</v>
      </c>
      <c r="U168" s="14">
        <f t="shared" si="72"/>
        <v>0</v>
      </c>
      <c r="V168" s="41">
        <f t="shared" si="58"/>
        <v>0.93941120013641888</v>
      </c>
    </row>
    <row r="169" spans="1:22" ht="82.5">
      <c r="A169" s="6" t="s">
        <v>280</v>
      </c>
      <c r="B169" s="26" t="s">
        <v>281</v>
      </c>
      <c r="C169" s="35" t="s">
        <v>20</v>
      </c>
      <c r="D169" s="35" t="s">
        <v>20</v>
      </c>
      <c r="E169" s="35" t="s">
        <v>20</v>
      </c>
      <c r="F169" s="36">
        <f>F172+F171</f>
        <v>12292.060000000001</v>
      </c>
      <c r="G169" s="36">
        <f t="shared" ref="G169:U169" si="73">G172+G171</f>
        <v>368.76</v>
      </c>
      <c r="H169" s="36">
        <f t="shared" si="73"/>
        <v>11923.300000000001</v>
      </c>
      <c r="I169" s="36">
        <f t="shared" si="73"/>
        <v>0</v>
      </c>
      <c r="J169" s="36">
        <f t="shared" si="73"/>
        <v>12292.06</v>
      </c>
      <c r="K169" s="36">
        <f t="shared" si="73"/>
        <v>368.76</v>
      </c>
      <c r="L169" s="36">
        <f t="shared" si="73"/>
        <v>11923.3</v>
      </c>
      <c r="M169" s="36">
        <f t="shared" si="73"/>
        <v>0</v>
      </c>
      <c r="N169" s="36">
        <f t="shared" si="73"/>
        <v>14682.989999999998</v>
      </c>
      <c r="O169" s="36">
        <f t="shared" si="73"/>
        <v>440.49</v>
      </c>
      <c r="P169" s="36">
        <f t="shared" si="73"/>
        <v>14242.5</v>
      </c>
      <c r="Q169" s="36">
        <f t="shared" si="73"/>
        <v>0</v>
      </c>
      <c r="R169" s="36">
        <f t="shared" si="73"/>
        <v>30590.77</v>
      </c>
      <c r="S169" s="36">
        <f t="shared" si="73"/>
        <v>917.67000000000007</v>
      </c>
      <c r="T169" s="36">
        <f t="shared" si="73"/>
        <v>29673.100000000002</v>
      </c>
      <c r="U169" s="36">
        <f t="shared" si="73"/>
        <v>0</v>
      </c>
      <c r="V169" s="45">
        <f t="shared" si="58"/>
        <v>0.99999999999999989</v>
      </c>
    </row>
    <row r="170" spans="1:22" ht="16.5">
      <c r="A170" s="8"/>
      <c r="B170" s="37" t="s">
        <v>23</v>
      </c>
      <c r="C170" s="29"/>
      <c r="D170" s="29"/>
      <c r="E170" s="29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44"/>
    </row>
    <row r="171" spans="1:22" ht="99">
      <c r="A171" s="8" t="s">
        <v>35</v>
      </c>
      <c r="B171" s="28" t="s">
        <v>282</v>
      </c>
      <c r="C171" s="29">
        <v>840</v>
      </c>
      <c r="D171" s="30" t="s">
        <v>185</v>
      </c>
      <c r="E171" s="29" t="s">
        <v>283</v>
      </c>
      <c r="F171" s="22"/>
      <c r="G171" s="22"/>
      <c r="H171" s="22"/>
      <c r="I171" s="22"/>
      <c r="J171" s="22"/>
      <c r="K171" s="22"/>
      <c r="L171" s="22"/>
      <c r="M171" s="22"/>
      <c r="N171" s="22">
        <f>O171+P171+Q171</f>
        <v>11543.609999999999</v>
      </c>
      <c r="O171" s="22">
        <f>564-217.69</f>
        <v>346.31</v>
      </c>
      <c r="P171" s="22">
        <f>18240.3-7043</f>
        <v>11197.3</v>
      </c>
      <c r="Q171" s="22"/>
      <c r="R171" s="22">
        <f>S171+T171+U171</f>
        <v>25412.27</v>
      </c>
      <c r="S171" s="22">
        <f>745.8+16.57</f>
        <v>762.37</v>
      </c>
      <c r="T171" s="22">
        <f>24113+536.9</f>
        <v>24649.9</v>
      </c>
      <c r="U171" s="22"/>
      <c r="V171" s="44"/>
    </row>
    <row r="172" spans="1:22" ht="99">
      <c r="A172" s="8" t="s">
        <v>35</v>
      </c>
      <c r="B172" s="28" t="s">
        <v>284</v>
      </c>
      <c r="C172" s="29">
        <v>840</v>
      </c>
      <c r="D172" s="30" t="s">
        <v>185</v>
      </c>
      <c r="E172" s="29" t="s">
        <v>285</v>
      </c>
      <c r="F172" s="22">
        <f>G172+H172+I172</f>
        <v>12292.060000000001</v>
      </c>
      <c r="G172" s="22">
        <f>297.6+71.16</f>
        <v>368.76</v>
      </c>
      <c r="H172" s="22">
        <f>9623.2+0.1+2300</f>
        <v>11923.300000000001</v>
      </c>
      <c r="I172" s="22"/>
      <c r="J172" s="22">
        <f>K172+L172+M172</f>
        <v>12292.06</v>
      </c>
      <c r="K172" s="22">
        <v>368.76</v>
      </c>
      <c r="L172" s="22">
        <v>11923.3</v>
      </c>
      <c r="M172" s="22"/>
      <c r="N172" s="22">
        <f>O172+P172+Q172</f>
        <v>3139.3799999999997</v>
      </c>
      <c r="O172" s="22">
        <f>165.4-71.22</f>
        <v>94.18</v>
      </c>
      <c r="P172" s="22">
        <v>3045.2</v>
      </c>
      <c r="Q172" s="22"/>
      <c r="R172" s="22">
        <f>S172+T172+U172</f>
        <v>5178.5</v>
      </c>
      <c r="S172" s="22">
        <f>155.3</f>
        <v>155.30000000000001</v>
      </c>
      <c r="T172" s="22">
        <v>5023.2</v>
      </c>
      <c r="U172" s="22"/>
      <c r="V172" s="44">
        <f t="shared" si="58"/>
        <v>0.99999999999999989</v>
      </c>
    </row>
    <row r="173" spans="1:22" ht="49.5">
      <c r="A173" s="6" t="s">
        <v>286</v>
      </c>
      <c r="B173" s="26" t="s">
        <v>287</v>
      </c>
      <c r="C173" s="35" t="s">
        <v>20</v>
      </c>
      <c r="D173" s="35" t="s">
        <v>20</v>
      </c>
      <c r="E173" s="35" t="s">
        <v>20</v>
      </c>
      <c r="F173" s="36">
        <f>F176+F175+F177+F178</f>
        <v>160995.93000000002</v>
      </c>
      <c r="G173" s="36">
        <f t="shared" ref="G173:L173" si="74">G176+G175+G177+G178</f>
        <v>4813.6099999999997</v>
      </c>
      <c r="H173" s="36">
        <f t="shared" si="74"/>
        <v>155639.72</v>
      </c>
      <c r="I173" s="36">
        <f t="shared" si="74"/>
        <v>542.6</v>
      </c>
      <c r="J173" s="36">
        <f t="shared" si="74"/>
        <v>150144.05000000002</v>
      </c>
      <c r="K173" s="36">
        <f t="shared" si="74"/>
        <v>4504.33</v>
      </c>
      <c r="L173" s="36">
        <f t="shared" si="74"/>
        <v>145639.72</v>
      </c>
      <c r="M173" s="36">
        <f t="shared" ref="M173:U173" si="75">M176+M175</f>
        <v>0</v>
      </c>
      <c r="N173" s="36">
        <f t="shared" si="75"/>
        <v>35513.410000000003</v>
      </c>
      <c r="O173" s="36">
        <f t="shared" si="75"/>
        <v>1065.4100000000001</v>
      </c>
      <c r="P173" s="36">
        <f t="shared" si="75"/>
        <v>34448</v>
      </c>
      <c r="Q173" s="36">
        <f t="shared" si="75"/>
        <v>0</v>
      </c>
      <c r="R173" s="36">
        <f t="shared" si="75"/>
        <v>69303.600000000006</v>
      </c>
      <c r="S173" s="36">
        <f t="shared" si="75"/>
        <v>2079.1000000000004</v>
      </c>
      <c r="T173" s="36">
        <f t="shared" si="75"/>
        <v>67224.5</v>
      </c>
      <c r="U173" s="36">
        <f t="shared" si="75"/>
        <v>0</v>
      </c>
      <c r="V173" s="45">
        <f t="shared" si="58"/>
        <v>0.9325953146765884</v>
      </c>
    </row>
    <row r="174" spans="1:22" ht="16.5">
      <c r="A174" s="8"/>
      <c r="B174" s="37" t="s">
        <v>23</v>
      </c>
      <c r="C174" s="29"/>
      <c r="D174" s="29"/>
      <c r="E174" s="29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44"/>
    </row>
    <row r="175" spans="1:22" ht="99">
      <c r="A175" s="8" t="s">
        <v>35</v>
      </c>
      <c r="B175" s="28" t="s">
        <v>282</v>
      </c>
      <c r="C175" s="29">
        <v>840</v>
      </c>
      <c r="D175" s="30" t="s">
        <v>185</v>
      </c>
      <c r="E175" s="29" t="s">
        <v>288</v>
      </c>
      <c r="F175" s="22">
        <f>G175+H175+I175</f>
        <v>114390.31000000001</v>
      </c>
      <c r="G175" s="22">
        <f>3431.71</f>
        <v>3431.71</v>
      </c>
      <c r="H175" s="22">
        <f>118358.6-7400</f>
        <v>110958.6</v>
      </c>
      <c r="I175" s="22"/>
      <c r="J175" s="22">
        <f>K175+L175+M175</f>
        <v>114390.31000000001</v>
      </c>
      <c r="K175" s="22">
        <f>1301.2+2130.51</f>
        <v>3431.71</v>
      </c>
      <c r="L175" s="22">
        <f>42072+68886.6</f>
        <v>110958.6</v>
      </c>
      <c r="M175" s="22"/>
      <c r="N175" s="22">
        <f>O175+P175+Q175</f>
        <v>31070.420000000002</v>
      </c>
      <c r="O175" s="22">
        <f>1244.5-312.38</f>
        <v>932.12</v>
      </c>
      <c r="P175" s="22">
        <f>40235.4-10097.1</f>
        <v>30138.300000000003</v>
      </c>
      <c r="Q175" s="22"/>
      <c r="R175" s="22">
        <f>S175+T175</f>
        <v>47680.1</v>
      </c>
      <c r="S175" s="22">
        <v>1430.4</v>
      </c>
      <c r="T175" s="22">
        <v>46249.7</v>
      </c>
      <c r="U175" s="22"/>
      <c r="V175" s="44">
        <f t="shared" si="58"/>
        <v>1</v>
      </c>
    </row>
    <row r="176" spans="1:22" ht="99">
      <c r="A176" s="8" t="s">
        <v>35</v>
      </c>
      <c r="B176" s="28" t="s">
        <v>289</v>
      </c>
      <c r="C176" s="29">
        <v>840</v>
      </c>
      <c r="D176" s="30" t="s">
        <v>185</v>
      </c>
      <c r="E176" s="29" t="s">
        <v>290</v>
      </c>
      <c r="F176" s="22">
        <f>G176+H176+I176</f>
        <v>10851.880000000001</v>
      </c>
      <c r="G176" s="22">
        <f>309.26+0.02</f>
        <v>309.27999999999997</v>
      </c>
      <c r="H176" s="22">
        <f>10000.02-0.02</f>
        <v>10000</v>
      </c>
      <c r="I176" s="22">
        <v>542.6</v>
      </c>
      <c r="J176" s="22"/>
      <c r="K176" s="22"/>
      <c r="L176" s="22"/>
      <c r="M176" s="22"/>
      <c r="N176" s="22">
        <f>O176+P176+Q176</f>
        <v>4442.9900000000007</v>
      </c>
      <c r="O176" s="22">
        <f>176-42.71</f>
        <v>133.29</v>
      </c>
      <c r="P176" s="22">
        <f>5693.6-1383.9</f>
        <v>4309.7000000000007</v>
      </c>
      <c r="Q176" s="22"/>
      <c r="R176" s="22">
        <f>S176+T176+U176</f>
        <v>21623.5</v>
      </c>
      <c r="S176" s="22">
        <v>648.70000000000005</v>
      </c>
      <c r="T176" s="22">
        <v>20974.799999999999</v>
      </c>
      <c r="U176" s="22"/>
      <c r="V176" s="44">
        <f t="shared" si="58"/>
        <v>0</v>
      </c>
    </row>
    <row r="177" spans="1:22" ht="99">
      <c r="A177" s="8" t="s">
        <v>35</v>
      </c>
      <c r="B177" s="28" t="s">
        <v>291</v>
      </c>
      <c r="C177" s="29">
        <v>840</v>
      </c>
      <c r="D177" s="30" t="s">
        <v>185</v>
      </c>
      <c r="E177" s="29" t="s">
        <v>292</v>
      </c>
      <c r="F177" s="22">
        <f>G177+H177</f>
        <v>7628.89</v>
      </c>
      <c r="G177" s="22">
        <f>228.87</f>
        <v>228.87</v>
      </c>
      <c r="H177" s="22">
        <f>7400.02</f>
        <v>7400.02</v>
      </c>
      <c r="I177" s="22"/>
      <c r="J177" s="22">
        <f>K177+L177</f>
        <v>7628.89</v>
      </c>
      <c r="K177" s="22">
        <f>228.87</f>
        <v>228.87</v>
      </c>
      <c r="L177" s="22">
        <f>7400.02</f>
        <v>7400.02</v>
      </c>
      <c r="M177" s="22"/>
      <c r="N177" s="22"/>
      <c r="O177" s="22"/>
      <c r="P177" s="22"/>
      <c r="Q177" s="22"/>
      <c r="R177" s="22"/>
      <c r="S177" s="22"/>
      <c r="T177" s="22"/>
      <c r="U177" s="22"/>
      <c r="V177" s="44">
        <f t="shared" si="58"/>
        <v>1</v>
      </c>
    </row>
    <row r="178" spans="1:22" ht="99">
      <c r="A178" s="8" t="s">
        <v>35</v>
      </c>
      <c r="B178" s="28" t="s">
        <v>293</v>
      </c>
      <c r="C178" s="29">
        <v>840</v>
      </c>
      <c r="D178" s="30" t="s">
        <v>185</v>
      </c>
      <c r="E178" s="29" t="s">
        <v>294</v>
      </c>
      <c r="F178" s="22">
        <f>G178+H178</f>
        <v>28124.850000000002</v>
      </c>
      <c r="G178" s="22">
        <v>843.75</v>
      </c>
      <c r="H178" s="22">
        <f>27281.08+0.02</f>
        <v>27281.100000000002</v>
      </c>
      <c r="I178" s="22"/>
      <c r="J178" s="22">
        <f>K178+L178</f>
        <v>28124.85</v>
      </c>
      <c r="K178" s="22">
        <v>843.75</v>
      </c>
      <c r="L178" s="22">
        <v>27281.1</v>
      </c>
      <c r="M178" s="22"/>
      <c r="N178" s="22"/>
      <c r="O178" s="22"/>
      <c r="P178" s="22"/>
      <c r="Q178" s="22"/>
      <c r="R178" s="22"/>
      <c r="S178" s="22"/>
      <c r="T178" s="22"/>
      <c r="U178" s="22"/>
      <c r="V178" s="44">
        <f t="shared" si="58"/>
        <v>0.99999999999999989</v>
      </c>
    </row>
    <row r="179" spans="1:22" ht="33">
      <c r="A179" s="6" t="s">
        <v>295</v>
      </c>
      <c r="B179" s="26" t="s">
        <v>296</v>
      </c>
      <c r="C179" s="35" t="s">
        <v>20</v>
      </c>
      <c r="D179" s="5" t="s">
        <v>20</v>
      </c>
      <c r="E179" s="35" t="s">
        <v>20</v>
      </c>
      <c r="F179" s="36">
        <f>F181</f>
        <v>9090.41</v>
      </c>
      <c r="G179" s="36">
        <f t="shared" ref="G179:U179" si="76">G181</f>
        <v>272.71000000000004</v>
      </c>
      <c r="H179" s="36">
        <f t="shared" si="76"/>
        <v>8817.6999999999989</v>
      </c>
      <c r="I179" s="36">
        <f t="shared" si="76"/>
        <v>0</v>
      </c>
      <c r="J179" s="36">
        <f t="shared" si="76"/>
        <v>9090.41</v>
      </c>
      <c r="K179" s="36">
        <f t="shared" si="76"/>
        <v>272.70999999999998</v>
      </c>
      <c r="L179" s="36">
        <f t="shared" si="76"/>
        <v>8817.7000000000007</v>
      </c>
      <c r="M179" s="36">
        <f t="shared" si="76"/>
        <v>0</v>
      </c>
      <c r="N179" s="36">
        <f t="shared" si="76"/>
        <v>4545.2999999999993</v>
      </c>
      <c r="O179" s="36">
        <f t="shared" si="76"/>
        <v>136.4</v>
      </c>
      <c r="P179" s="36">
        <f t="shared" si="76"/>
        <v>4408.8999999999996</v>
      </c>
      <c r="Q179" s="36">
        <f t="shared" si="76"/>
        <v>0</v>
      </c>
      <c r="R179" s="36">
        <f t="shared" si="76"/>
        <v>4545.2999999999993</v>
      </c>
      <c r="S179" s="36">
        <f t="shared" si="76"/>
        <v>136.4</v>
      </c>
      <c r="T179" s="36">
        <f t="shared" si="76"/>
        <v>4408.8999999999996</v>
      </c>
      <c r="U179" s="36">
        <f t="shared" si="76"/>
        <v>0</v>
      </c>
      <c r="V179" s="45">
        <f t="shared" si="58"/>
        <v>1</v>
      </c>
    </row>
    <row r="180" spans="1:22" ht="16.5">
      <c r="A180" s="8"/>
      <c r="B180" s="37" t="s">
        <v>23</v>
      </c>
      <c r="C180" s="29"/>
      <c r="D180" s="30"/>
      <c r="E180" s="29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44"/>
    </row>
    <row r="181" spans="1:22" ht="99">
      <c r="A181" s="8" t="s">
        <v>35</v>
      </c>
      <c r="B181" s="28" t="s">
        <v>282</v>
      </c>
      <c r="C181" s="29">
        <v>840</v>
      </c>
      <c r="D181" s="30" t="s">
        <v>185</v>
      </c>
      <c r="E181" s="29" t="s">
        <v>297</v>
      </c>
      <c r="F181" s="22">
        <f>G181+H181+I181</f>
        <v>9090.41</v>
      </c>
      <c r="G181" s="22">
        <f>136.4+136.31</f>
        <v>272.71000000000004</v>
      </c>
      <c r="H181" s="22">
        <f>4408.9-0.1+4408.9</f>
        <v>8817.6999999999989</v>
      </c>
      <c r="I181" s="22"/>
      <c r="J181" s="22">
        <f>K181+L181</f>
        <v>9090.41</v>
      </c>
      <c r="K181" s="22">
        <v>272.70999999999998</v>
      </c>
      <c r="L181" s="22">
        <v>8817.7000000000007</v>
      </c>
      <c r="M181" s="22"/>
      <c r="N181" s="22">
        <f>O181+P181+Q181</f>
        <v>4545.2999999999993</v>
      </c>
      <c r="O181" s="22">
        <v>136.4</v>
      </c>
      <c r="P181" s="22">
        <v>4408.8999999999996</v>
      </c>
      <c r="Q181" s="22"/>
      <c r="R181" s="22">
        <f>S181+T181+U181</f>
        <v>4545.2999999999993</v>
      </c>
      <c r="S181" s="22">
        <v>136.4</v>
      </c>
      <c r="T181" s="22">
        <v>4408.8999999999996</v>
      </c>
      <c r="U181" s="22"/>
      <c r="V181" s="44">
        <f t="shared" si="58"/>
        <v>1</v>
      </c>
    </row>
    <row r="182" spans="1:22" ht="49.5">
      <c r="A182" s="6" t="s">
        <v>298</v>
      </c>
      <c r="B182" s="26" t="s">
        <v>299</v>
      </c>
      <c r="C182" s="35" t="s">
        <v>20</v>
      </c>
      <c r="D182" s="5" t="s">
        <v>20</v>
      </c>
      <c r="E182" s="35" t="s">
        <v>20</v>
      </c>
      <c r="F182" s="36">
        <f>F184+F185+F186+F187</f>
        <v>27328.510000000002</v>
      </c>
      <c r="G182" s="36">
        <f t="shared" ref="G182:U182" si="77">G184+G185+G186+G187</f>
        <v>2067.0100000000002</v>
      </c>
      <c r="H182" s="36">
        <f t="shared" si="77"/>
        <v>25261.5</v>
      </c>
      <c r="I182" s="36">
        <f t="shared" si="77"/>
        <v>0</v>
      </c>
      <c r="J182" s="36">
        <f t="shared" si="77"/>
        <v>25474.500000000004</v>
      </c>
      <c r="K182" s="36">
        <f t="shared" si="77"/>
        <v>994.99999999999989</v>
      </c>
      <c r="L182" s="36">
        <f t="shared" si="77"/>
        <v>24479.5</v>
      </c>
      <c r="M182" s="36">
        <f t="shared" si="77"/>
        <v>0</v>
      </c>
      <c r="N182" s="36">
        <f>N184+N185+N186+N187</f>
        <v>29252.829999999998</v>
      </c>
      <c r="O182" s="36">
        <f t="shared" ref="O182:P182" si="78">O184+O185+O186+O187</f>
        <v>2124.73</v>
      </c>
      <c r="P182" s="36">
        <f t="shared" si="78"/>
        <v>27128.1</v>
      </c>
      <c r="Q182" s="36">
        <f t="shared" si="77"/>
        <v>0</v>
      </c>
      <c r="R182" s="36">
        <f t="shared" si="77"/>
        <v>26479.940000000002</v>
      </c>
      <c r="S182" s="36">
        <f t="shared" si="77"/>
        <v>2041.54</v>
      </c>
      <c r="T182" s="36">
        <f t="shared" si="77"/>
        <v>24438.400000000001</v>
      </c>
      <c r="U182" s="36">
        <f t="shared" si="77"/>
        <v>0</v>
      </c>
      <c r="V182" s="45">
        <f t="shared" si="58"/>
        <v>0.93215839429226111</v>
      </c>
    </row>
    <row r="183" spans="1:22" ht="16.5">
      <c r="A183" s="8"/>
      <c r="B183" s="28" t="s">
        <v>23</v>
      </c>
      <c r="C183" s="29"/>
      <c r="D183" s="30"/>
      <c r="E183" s="29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44"/>
    </row>
    <row r="184" spans="1:22" ht="82.5">
      <c r="A184" s="8"/>
      <c r="B184" s="28" t="s">
        <v>300</v>
      </c>
      <c r="C184" s="29">
        <v>817</v>
      </c>
      <c r="D184" s="30" t="s">
        <v>301</v>
      </c>
      <c r="E184" s="29" t="s">
        <v>302</v>
      </c>
      <c r="F184" s="22">
        <f>G184</f>
        <v>0</v>
      </c>
      <c r="G184" s="22">
        <f>781.28-781.28</f>
        <v>0</v>
      </c>
      <c r="H184" s="22"/>
      <c r="I184" s="22"/>
      <c r="J184" s="22"/>
      <c r="K184" s="22"/>
      <c r="L184" s="22"/>
      <c r="M184" s="22"/>
      <c r="N184" s="22">
        <f>O184</f>
        <v>0</v>
      </c>
      <c r="O184" s="22">
        <f>839.01-839.01</f>
        <v>0</v>
      </c>
      <c r="P184" s="22"/>
      <c r="Q184" s="22"/>
      <c r="R184" s="22">
        <f>S184</f>
        <v>0</v>
      </c>
      <c r="S184" s="22">
        <f>755.83-755.83</f>
        <v>0</v>
      </c>
      <c r="T184" s="22"/>
      <c r="U184" s="22"/>
      <c r="V184" s="44"/>
    </row>
    <row r="185" spans="1:22" ht="82.5">
      <c r="A185" s="8"/>
      <c r="B185" s="28" t="s">
        <v>303</v>
      </c>
      <c r="C185" s="29">
        <v>817</v>
      </c>
      <c r="D185" s="30" t="s">
        <v>301</v>
      </c>
      <c r="E185" s="29" t="s">
        <v>304</v>
      </c>
      <c r="F185" s="22">
        <f>G185+H185</f>
        <v>24926.850000000002</v>
      </c>
      <c r="G185" s="22">
        <f>688.5+59.31</f>
        <v>747.81</v>
      </c>
      <c r="H185" s="22">
        <f>22261.5+1917.54</f>
        <v>24179.040000000001</v>
      </c>
      <c r="I185" s="22"/>
      <c r="J185" s="22">
        <f>K185+L185+M185</f>
        <v>24926.850000000002</v>
      </c>
      <c r="K185" s="22">
        <v>747.81</v>
      </c>
      <c r="L185" s="22">
        <v>24179.040000000001</v>
      </c>
      <c r="M185" s="22"/>
      <c r="N185" s="22">
        <f>O185+P185</f>
        <v>24874.329999999998</v>
      </c>
      <c r="O185" s="22">
        <v>746.23</v>
      </c>
      <c r="P185" s="22">
        <v>24128.1</v>
      </c>
      <c r="Q185" s="22"/>
      <c r="R185" s="22">
        <f>S185+T185</f>
        <v>22101.440000000002</v>
      </c>
      <c r="S185" s="22">
        <v>663.04</v>
      </c>
      <c r="T185" s="22">
        <v>21438.400000000001</v>
      </c>
      <c r="U185" s="22"/>
      <c r="V185" s="44">
        <f t="shared" si="58"/>
        <v>1</v>
      </c>
    </row>
    <row r="186" spans="1:22" ht="82.5">
      <c r="A186" s="8"/>
      <c r="B186" s="28" t="s">
        <v>305</v>
      </c>
      <c r="C186" s="29">
        <v>817</v>
      </c>
      <c r="D186" s="30" t="s">
        <v>301</v>
      </c>
      <c r="E186" s="29" t="s">
        <v>306</v>
      </c>
      <c r="F186" s="22">
        <f>G186+H186</f>
        <v>1115.94</v>
      </c>
      <c r="G186" s="22">
        <v>33.479999999999997</v>
      </c>
      <c r="H186" s="22">
        <v>1082.46</v>
      </c>
      <c r="I186" s="22"/>
      <c r="J186" s="22">
        <f>K186+L186+M186</f>
        <v>309.75</v>
      </c>
      <c r="K186" s="22">
        <v>9.2899999999999991</v>
      </c>
      <c r="L186" s="22">
        <v>300.45999999999998</v>
      </c>
      <c r="M186" s="22"/>
      <c r="N186" s="22">
        <f>O186+P186</f>
        <v>3092.78</v>
      </c>
      <c r="O186" s="22">
        <v>92.78</v>
      </c>
      <c r="P186" s="22">
        <v>3000</v>
      </c>
      <c r="Q186" s="22"/>
      <c r="R186" s="22">
        <f>S186+T186</f>
        <v>3092.78</v>
      </c>
      <c r="S186" s="22">
        <v>92.78</v>
      </c>
      <c r="T186" s="22">
        <v>3000</v>
      </c>
      <c r="U186" s="22"/>
      <c r="V186" s="44">
        <f t="shared" si="58"/>
        <v>0.2775686864885209</v>
      </c>
    </row>
    <row r="187" spans="1:22" ht="82.5">
      <c r="A187" s="8"/>
      <c r="B187" s="28" t="s">
        <v>305</v>
      </c>
      <c r="C187" s="29">
        <v>817</v>
      </c>
      <c r="D187" s="30" t="s">
        <v>301</v>
      </c>
      <c r="E187" s="25" t="s">
        <v>307</v>
      </c>
      <c r="F187" s="22">
        <f>G187</f>
        <v>1285.72</v>
      </c>
      <c r="G187" s="22">
        <v>1285.72</v>
      </c>
      <c r="H187" s="22"/>
      <c r="I187" s="22"/>
      <c r="J187" s="22">
        <f>K187</f>
        <v>237.9</v>
      </c>
      <c r="K187" s="22">
        <v>237.9</v>
      </c>
      <c r="L187" s="22"/>
      <c r="M187" s="22"/>
      <c r="N187" s="22">
        <f>O187</f>
        <v>1285.72</v>
      </c>
      <c r="O187" s="22">
        <v>1285.72</v>
      </c>
      <c r="P187" s="22"/>
      <c r="Q187" s="22"/>
      <c r="R187" s="22">
        <f>S187</f>
        <v>1285.72</v>
      </c>
      <c r="S187" s="22">
        <v>1285.72</v>
      </c>
      <c r="T187" s="22"/>
      <c r="U187" s="22"/>
      <c r="V187" s="44">
        <f t="shared" si="58"/>
        <v>0.18503251096661794</v>
      </c>
    </row>
    <row r="188" spans="1:22" ht="49.5">
      <c r="A188" s="11" t="s">
        <v>308</v>
      </c>
      <c r="B188" s="33" t="s">
        <v>309</v>
      </c>
      <c r="C188" s="13" t="s">
        <v>20</v>
      </c>
      <c r="D188" s="13" t="s">
        <v>20</v>
      </c>
      <c r="E188" s="13" t="s">
        <v>20</v>
      </c>
      <c r="F188" s="14">
        <f>F189+F195</f>
        <v>84989.8</v>
      </c>
      <c r="G188" s="14">
        <f t="shared" ref="G188:K188" si="79">G189+G195</f>
        <v>11735.7</v>
      </c>
      <c r="H188" s="14">
        <f t="shared" si="79"/>
        <v>73254.100000000006</v>
      </c>
      <c r="I188" s="14">
        <f t="shared" si="79"/>
        <v>0</v>
      </c>
      <c r="J188" s="14">
        <f t="shared" si="79"/>
        <v>14853.320000000002</v>
      </c>
      <c r="K188" s="14">
        <f t="shared" si="79"/>
        <v>9417.5400000000009</v>
      </c>
      <c r="L188" s="14">
        <f>L189+L195</f>
        <v>5435.78</v>
      </c>
      <c r="M188" s="14"/>
      <c r="N188" s="14"/>
      <c r="O188" s="14"/>
      <c r="P188" s="14"/>
      <c r="Q188" s="14"/>
      <c r="R188" s="14"/>
      <c r="S188" s="14"/>
      <c r="T188" s="14"/>
      <c r="U188" s="14"/>
      <c r="V188" s="41">
        <f t="shared" si="58"/>
        <v>0.17476591308604092</v>
      </c>
    </row>
    <row r="189" spans="1:22" ht="49.5">
      <c r="A189" s="6" t="s">
        <v>310</v>
      </c>
      <c r="B189" s="26" t="s">
        <v>311</v>
      </c>
      <c r="C189" s="35" t="s">
        <v>20</v>
      </c>
      <c r="D189" s="35" t="s">
        <v>20</v>
      </c>
      <c r="E189" s="35" t="s">
        <v>20</v>
      </c>
      <c r="F189" s="36">
        <f>F191+F193+F192+F194</f>
        <v>38275.800000000003</v>
      </c>
      <c r="G189" s="36">
        <f t="shared" ref="G189:L189" si="80">G191+G193+G192+G194</f>
        <v>9400</v>
      </c>
      <c r="H189" s="36">
        <f t="shared" si="80"/>
        <v>28875.8</v>
      </c>
      <c r="I189" s="36">
        <f t="shared" si="80"/>
        <v>0</v>
      </c>
      <c r="J189" s="36">
        <f t="shared" si="80"/>
        <v>13868.29</v>
      </c>
      <c r="K189" s="36">
        <f t="shared" si="80"/>
        <v>9368.2900000000009</v>
      </c>
      <c r="L189" s="36">
        <f t="shared" si="80"/>
        <v>4500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45">
        <f t="shared" si="58"/>
        <v>0.36232528124820385</v>
      </c>
    </row>
    <row r="190" spans="1:22" ht="16.5">
      <c r="A190" s="8"/>
      <c r="B190" s="37" t="s">
        <v>23</v>
      </c>
      <c r="C190" s="20"/>
      <c r="D190" s="20"/>
      <c r="E190" s="20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43"/>
    </row>
    <row r="191" spans="1:22" ht="99">
      <c r="A191" s="8"/>
      <c r="B191" s="28" t="s">
        <v>312</v>
      </c>
      <c r="C191" s="20">
        <v>840</v>
      </c>
      <c r="D191" s="24" t="s">
        <v>185</v>
      </c>
      <c r="E191" s="20" t="s">
        <v>313</v>
      </c>
      <c r="F191" s="21">
        <f>G191+H191</f>
        <v>26875.8</v>
      </c>
      <c r="G191" s="21">
        <v>2500</v>
      </c>
      <c r="H191" s="21">
        <f>28875.8-4500</f>
        <v>24375.8</v>
      </c>
      <c r="I191" s="21"/>
      <c r="J191" s="22">
        <f>K191+L191</f>
        <v>7000</v>
      </c>
      <c r="K191" s="22">
        <v>2500</v>
      </c>
      <c r="L191" s="22">
        <v>4500</v>
      </c>
      <c r="M191" s="22"/>
      <c r="O191" s="21"/>
      <c r="P191" s="21"/>
      <c r="Q191" s="21"/>
      <c r="R191" s="21"/>
      <c r="S191" s="21"/>
      <c r="T191" s="21"/>
      <c r="U191" s="21"/>
      <c r="V191" s="43">
        <f t="shared" si="58"/>
        <v>0.26045736312965567</v>
      </c>
    </row>
    <row r="192" spans="1:22" ht="82.5">
      <c r="A192" s="8"/>
      <c r="B192" s="28" t="s">
        <v>312</v>
      </c>
      <c r="C192" s="20">
        <v>816</v>
      </c>
      <c r="D192" s="24" t="s">
        <v>135</v>
      </c>
      <c r="E192" s="20" t="s">
        <v>313</v>
      </c>
      <c r="F192" s="21">
        <f>H192</f>
        <v>4500</v>
      </c>
      <c r="G192" s="21"/>
      <c r="H192" s="21">
        <v>4500</v>
      </c>
      <c r="I192" s="21"/>
      <c r="J192" s="22"/>
      <c r="K192" s="22"/>
      <c r="L192" s="22"/>
      <c r="M192" s="22"/>
      <c r="N192" s="21"/>
      <c r="O192" s="21"/>
      <c r="P192" s="21"/>
      <c r="Q192" s="21"/>
      <c r="R192" s="21"/>
      <c r="S192" s="21"/>
      <c r="T192" s="21"/>
      <c r="U192" s="21"/>
      <c r="V192" s="43">
        <f t="shared" si="58"/>
        <v>0</v>
      </c>
    </row>
    <row r="193" spans="1:22" ht="82.5">
      <c r="A193" s="8"/>
      <c r="B193" s="28" t="s">
        <v>314</v>
      </c>
      <c r="C193" s="20">
        <v>816</v>
      </c>
      <c r="D193" s="24" t="s">
        <v>135</v>
      </c>
      <c r="E193" s="20" t="s">
        <v>315</v>
      </c>
      <c r="F193" s="21">
        <f>G193</f>
        <v>0</v>
      </c>
      <c r="G193" s="21">
        <f>6900-6900</f>
        <v>0</v>
      </c>
      <c r="H193" s="21"/>
      <c r="I193" s="21"/>
      <c r="J193" s="22"/>
      <c r="K193" s="22"/>
      <c r="L193" s="22"/>
      <c r="M193" s="22"/>
      <c r="N193" s="21"/>
      <c r="O193" s="21"/>
      <c r="P193" s="21"/>
      <c r="Q193" s="21"/>
      <c r="R193" s="21"/>
      <c r="S193" s="21"/>
      <c r="T193" s="21"/>
      <c r="U193" s="21"/>
      <c r="V193" s="43"/>
    </row>
    <row r="194" spans="1:22" ht="82.5">
      <c r="A194" s="8"/>
      <c r="B194" s="28" t="s">
        <v>314</v>
      </c>
      <c r="C194" s="20">
        <v>816</v>
      </c>
      <c r="D194" s="24" t="s">
        <v>135</v>
      </c>
      <c r="E194" s="20" t="s">
        <v>316</v>
      </c>
      <c r="F194" s="21">
        <f>G194</f>
        <v>6900</v>
      </c>
      <c r="G194" s="21">
        <v>6900</v>
      </c>
      <c r="H194" s="21"/>
      <c r="I194" s="21"/>
      <c r="J194" s="22">
        <f>K194</f>
        <v>6868.29</v>
      </c>
      <c r="K194" s="22">
        <f>2079.62+1193.42+2697.24+898.01</f>
        <v>6868.29</v>
      </c>
      <c r="L194" s="22"/>
      <c r="M194" s="22"/>
      <c r="N194" s="21"/>
      <c r="O194" s="21"/>
      <c r="P194" s="21"/>
      <c r="Q194" s="21"/>
      <c r="R194" s="21"/>
      <c r="S194" s="21"/>
      <c r="T194" s="21"/>
      <c r="U194" s="21"/>
      <c r="V194" s="43">
        <f t="shared" si="58"/>
        <v>0.995404347826087</v>
      </c>
    </row>
    <row r="195" spans="1:22" ht="66">
      <c r="A195" s="26" t="s">
        <v>317</v>
      </c>
      <c r="B195" s="16" t="s">
        <v>318</v>
      </c>
      <c r="C195" s="35" t="s">
        <v>20</v>
      </c>
      <c r="D195" s="35" t="s">
        <v>20</v>
      </c>
      <c r="E195" s="36" t="s">
        <v>20</v>
      </c>
      <c r="F195" s="36">
        <f>F197+F198</f>
        <v>46714</v>
      </c>
      <c r="G195" s="18">
        <f>G197+G198</f>
        <v>2335.7000000000003</v>
      </c>
      <c r="H195" s="18">
        <f t="shared" ref="H195:L195" si="81">H197+H198</f>
        <v>44378.3</v>
      </c>
      <c r="I195" s="18">
        <f t="shared" si="81"/>
        <v>0</v>
      </c>
      <c r="J195" s="18">
        <f t="shared" si="81"/>
        <v>985.03</v>
      </c>
      <c r="K195" s="18">
        <f t="shared" si="81"/>
        <v>49.25</v>
      </c>
      <c r="L195" s="18">
        <f t="shared" si="81"/>
        <v>935.78</v>
      </c>
      <c r="M195" s="22"/>
      <c r="N195" s="21"/>
      <c r="O195" s="21"/>
      <c r="P195" s="21"/>
      <c r="Q195" s="21"/>
      <c r="R195" s="21"/>
      <c r="S195" s="21"/>
      <c r="T195" s="21"/>
      <c r="U195" s="21"/>
      <c r="V195" s="42">
        <f t="shared" si="58"/>
        <v>2.1086398081945453E-2</v>
      </c>
    </row>
    <row r="196" spans="1:22" ht="16.5">
      <c r="A196" s="8"/>
      <c r="B196" s="37" t="s">
        <v>23</v>
      </c>
      <c r="C196" s="20"/>
      <c r="D196" s="24"/>
      <c r="E196" s="20"/>
      <c r="F196" s="21"/>
      <c r="G196" s="21"/>
      <c r="H196" s="21"/>
      <c r="I196" s="21"/>
      <c r="J196" s="22"/>
      <c r="K196" s="22"/>
      <c r="L196" s="22"/>
      <c r="M196" s="22"/>
      <c r="N196" s="21"/>
      <c r="O196" s="21"/>
      <c r="P196" s="21"/>
      <c r="Q196" s="21"/>
      <c r="R196" s="21"/>
      <c r="S196" s="21"/>
      <c r="T196" s="21"/>
      <c r="U196" s="21"/>
      <c r="V196" s="43"/>
    </row>
    <row r="197" spans="1:22" ht="66">
      <c r="A197" s="8" t="s">
        <v>24</v>
      </c>
      <c r="B197" s="28" t="s">
        <v>319</v>
      </c>
      <c r="C197" s="20">
        <v>839</v>
      </c>
      <c r="D197" s="24" t="s">
        <v>26</v>
      </c>
      <c r="E197" s="20" t="s">
        <v>320</v>
      </c>
      <c r="F197" s="21">
        <f>G197+H197</f>
        <v>19124.8</v>
      </c>
      <c r="G197" s="21">
        <f>1580.9-624.64</f>
        <v>956.2600000000001</v>
      </c>
      <c r="H197" s="21">
        <f>30036.7-11868.16</f>
        <v>18168.54</v>
      </c>
      <c r="I197" s="21"/>
      <c r="J197" s="22">
        <f>K197+L197</f>
        <v>242.23000000000002</v>
      </c>
      <c r="K197" s="22">
        <v>12.11</v>
      </c>
      <c r="L197" s="22">
        <v>230.12</v>
      </c>
      <c r="M197" s="22"/>
      <c r="N197" s="21"/>
      <c r="O197" s="21"/>
      <c r="P197" s="21"/>
      <c r="Q197" s="21"/>
      <c r="R197" s="21"/>
      <c r="S197" s="21"/>
      <c r="T197" s="21"/>
      <c r="U197" s="21"/>
      <c r="V197" s="43">
        <f t="shared" si="58"/>
        <v>1.2665753367355478E-2</v>
      </c>
    </row>
    <row r="198" spans="1:22" ht="115.5">
      <c r="A198" s="8" t="s">
        <v>24</v>
      </c>
      <c r="B198" s="28" t="s">
        <v>321</v>
      </c>
      <c r="C198" s="20">
        <v>839</v>
      </c>
      <c r="D198" s="24" t="s">
        <v>26</v>
      </c>
      <c r="E198" s="20" t="s">
        <v>322</v>
      </c>
      <c r="F198" s="21">
        <f>G198+H198</f>
        <v>27589.200000000001</v>
      </c>
      <c r="G198" s="21">
        <f>754.8+624.64</f>
        <v>1379.44</v>
      </c>
      <c r="H198" s="21">
        <f>14341.6+11868.16</f>
        <v>26209.760000000002</v>
      </c>
      <c r="I198" s="21"/>
      <c r="J198" s="22">
        <f>K198+L198</f>
        <v>742.8</v>
      </c>
      <c r="K198" s="22">
        <v>37.14</v>
      </c>
      <c r="L198" s="22">
        <v>705.66</v>
      </c>
      <c r="M198" s="22"/>
      <c r="N198" s="21"/>
      <c r="O198" s="21"/>
      <c r="P198" s="21"/>
      <c r="Q198" s="21"/>
      <c r="R198" s="21"/>
      <c r="S198" s="21"/>
      <c r="T198" s="21"/>
      <c r="U198" s="21"/>
      <c r="V198" s="43">
        <f t="shared" si="58"/>
        <v>2.6923578791701097E-2</v>
      </c>
    </row>
    <row r="199" spans="1:22">
      <c r="A199" s="38"/>
      <c r="B199" s="38" t="s">
        <v>323</v>
      </c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</row>
    <row r="200" spans="1:22">
      <c r="A200" s="38"/>
      <c r="B200" s="38" t="s">
        <v>324</v>
      </c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</row>
  </sheetData>
  <mergeCells count="17">
    <mergeCell ref="A4:A6"/>
    <mergeCell ref="B4:B6"/>
    <mergeCell ref="C4:C6"/>
    <mergeCell ref="D4:D6"/>
    <mergeCell ref="E4:E6"/>
    <mergeCell ref="V4:V6"/>
    <mergeCell ref="I135:I136"/>
    <mergeCell ref="I131:I132"/>
    <mergeCell ref="I133:I134"/>
    <mergeCell ref="B1:T2"/>
    <mergeCell ref="F4:M4"/>
    <mergeCell ref="N4:Q4"/>
    <mergeCell ref="R4:U4"/>
    <mergeCell ref="F5:I5"/>
    <mergeCell ref="J5:M5"/>
    <mergeCell ref="N5:Q5"/>
    <mergeCell ref="R5:U5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43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2019-10-09T05:24:19Z</dcterms:modified>
</cp:coreProperties>
</file>