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4" sheetId="7" r:id="rId2"/>
    <sheet name="Лист2" sheetId="8" r:id="rId3"/>
    <sheet name="Лист3" sheetId="9" r:id="rId4"/>
    <sheet name="Лист5" sheetId="10" r:id="rId5"/>
    <sheet name="Лист6" sheetId="11" r:id="rId6"/>
  </sheets>
  <definedNames>
    <definedName name="_xlnm._FilterDatabase" localSheetId="0" hidden="1">Лист1!$D$1:$D$202</definedName>
    <definedName name="_xlnm.Print_Titles" localSheetId="0">Лист1!$4:$7</definedName>
  </definedNames>
  <calcPr calcId="125725" fullPrecision="0"/>
</workbook>
</file>

<file path=xl/calcChain.xml><?xml version="1.0" encoding="utf-8"?>
<calcChain xmlns="http://schemas.openxmlformats.org/spreadsheetml/2006/main">
  <c r="N71" i="11"/>
  <c r="G70"/>
  <c r="H70"/>
  <c r="I70"/>
  <c r="K70"/>
  <c r="L70"/>
  <c r="M70"/>
  <c r="F70"/>
  <c r="J72"/>
  <c r="J70" s="1"/>
  <c r="N70" s="1"/>
  <c r="J71"/>
  <c r="F72"/>
  <c r="F71"/>
  <c r="G64"/>
  <c r="H64"/>
  <c r="I64"/>
  <c r="K64"/>
  <c r="L64"/>
  <c r="M64"/>
  <c r="F65"/>
  <c r="J65"/>
  <c r="F66"/>
  <c r="J66"/>
  <c r="F67"/>
  <c r="J67"/>
  <c r="F68"/>
  <c r="J68"/>
  <c r="G57"/>
  <c r="H57"/>
  <c r="I57"/>
  <c r="K57"/>
  <c r="L57"/>
  <c r="M57"/>
  <c r="J59"/>
  <c r="J60"/>
  <c r="J58"/>
  <c r="F59"/>
  <c r="F60"/>
  <c r="F58"/>
  <c r="G54"/>
  <c r="H54"/>
  <c r="I54"/>
  <c r="K54"/>
  <c r="L54"/>
  <c r="M54"/>
  <c r="F55"/>
  <c r="F54" s="1"/>
  <c r="J55"/>
  <c r="J54" s="1"/>
  <c r="J50"/>
  <c r="J51"/>
  <c r="J52"/>
  <c r="J49"/>
  <c r="G48"/>
  <c r="H48"/>
  <c r="I48"/>
  <c r="K48"/>
  <c r="L48"/>
  <c r="M48"/>
  <c r="F50"/>
  <c r="F51"/>
  <c r="F52"/>
  <c r="F49"/>
  <c r="J46"/>
  <c r="J45"/>
  <c r="G44"/>
  <c r="H44"/>
  <c r="I44"/>
  <c r="K44"/>
  <c r="L44"/>
  <c r="M44"/>
  <c r="F46"/>
  <c r="F45"/>
  <c r="G37"/>
  <c r="H37"/>
  <c r="I37"/>
  <c r="K37"/>
  <c r="L37"/>
  <c r="M37"/>
  <c r="J39"/>
  <c r="J40"/>
  <c r="J41"/>
  <c r="J42"/>
  <c r="J38"/>
  <c r="F39"/>
  <c r="F40"/>
  <c r="F41"/>
  <c r="F42"/>
  <c r="F38"/>
  <c r="G30"/>
  <c r="H30"/>
  <c r="I30"/>
  <c r="K30"/>
  <c r="L30"/>
  <c r="M30"/>
  <c r="J32"/>
  <c r="J33"/>
  <c r="J34"/>
  <c r="J35"/>
  <c r="J31"/>
  <c r="F32"/>
  <c r="F33"/>
  <c r="F34"/>
  <c r="F35"/>
  <c r="F31"/>
  <c r="F28"/>
  <c r="J25"/>
  <c r="J26"/>
  <c r="J27"/>
  <c r="J28"/>
  <c r="N28" s="1"/>
  <c r="J24"/>
  <c r="F25"/>
  <c r="F26"/>
  <c r="F27"/>
  <c r="F24"/>
  <c r="G23"/>
  <c r="H23"/>
  <c r="I23"/>
  <c r="K23"/>
  <c r="L23"/>
  <c r="M23"/>
  <c r="N72" l="1"/>
  <c r="N68"/>
  <c r="F64"/>
  <c r="N66"/>
  <c r="N67"/>
  <c r="N65"/>
  <c r="J64"/>
  <c r="N64" s="1"/>
  <c r="J57"/>
  <c r="N60"/>
  <c r="N59"/>
  <c r="N58"/>
  <c r="F57"/>
  <c r="N54"/>
  <c r="N50"/>
  <c r="N51"/>
  <c r="N52"/>
  <c r="F48"/>
  <c r="N49"/>
  <c r="F44"/>
  <c r="J48"/>
  <c r="N38"/>
  <c r="J44"/>
  <c r="F37"/>
  <c r="N39"/>
  <c r="N40"/>
  <c r="N41"/>
  <c r="N42"/>
  <c r="N33"/>
  <c r="N34"/>
  <c r="J37"/>
  <c r="N32"/>
  <c r="F30"/>
  <c r="N27"/>
  <c r="J30"/>
  <c r="N31"/>
  <c r="N25"/>
  <c r="N26"/>
  <c r="F23"/>
  <c r="N24"/>
  <c r="J23"/>
  <c r="J18"/>
  <c r="J19"/>
  <c r="J20"/>
  <c r="N20" s="1"/>
  <c r="J21"/>
  <c r="J17"/>
  <c r="G16"/>
  <c r="H16"/>
  <c r="I16"/>
  <c r="K16"/>
  <c r="L16"/>
  <c r="M16"/>
  <c r="F18"/>
  <c r="F19"/>
  <c r="F21"/>
  <c r="F17"/>
  <c r="G4"/>
  <c r="H4"/>
  <c r="I4"/>
  <c r="K4"/>
  <c r="L4"/>
  <c r="M4"/>
  <c r="J6"/>
  <c r="J7"/>
  <c r="J8"/>
  <c r="J9"/>
  <c r="J10"/>
  <c r="J11"/>
  <c r="J12"/>
  <c r="J13"/>
  <c r="J14"/>
  <c r="J5"/>
  <c r="F6"/>
  <c r="F7"/>
  <c r="F8"/>
  <c r="F9"/>
  <c r="F10"/>
  <c r="F11"/>
  <c r="F12"/>
  <c r="F13"/>
  <c r="F14"/>
  <c r="F5"/>
  <c r="N57" l="1"/>
  <c r="N48"/>
  <c r="N37"/>
  <c r="N44"/>
  <c r="N18"/>
  <c r="N30"/>
  <c r="F16"/>
  <c r="J16"/>
  <c r="N19"/>
  <c r="N23"/>
  <c r="N17"/>
  <c r="J4"/>
  <c r="N5"/>
  <c r="N6"/>
  <c r="N7"/>
  <c r="N8"/>
  <c r="N9"/>
  <c r="N10"/>
  <c r="N11"/>
  <c r="N12"/>
  <c r="N13"/>
  <c r="N14"/>
  <c r="F4"/>
  <c r="J12" i="1"/>
  <c r="J13"/>
  <c r="G127" i="10"/>
  <c r="K73" i="9"/>
  <c r="D100"/>
  <c r="C100"/>
  <c r="K19"/>
  <c r="K16"/>
  <c r="K45"/>
  <c r="K53"/>
  <c r="J94"/>
  <c r="I94"/>
  <c r="J93"/>
  <c r="I93"/>
  <c r="J92"/>
  <c r="I92"/>
  <c r="J91"/>
  <c r="I91"/>
  <c r="J90"/>
  <c r="I90"/>
  <c r="J89"/>
  <c r="I89"/>
  <c r="J88"/>
  <c r="I88"/>
  <c r="J87"/>
  <c r="I87"/>
  <c r="J86"/>
  <c r="I86"/>
  <c r="J85"/>
  <c r="I85"/>
  <c r="J84"/>
  <c r="I84"/>
  <c r="J83"/>
  <c r="I83"/>
  <c r="J82"/>
  <c r="I82"/>
  <c r="J81"/>
  <c r="I81"/>
  <c r="J80"/>
  <c r="I80"/>
  <c r="J79"/>
  <c r="I79"/>
  <c r="J78"/>
  <c r="I78"/>
  <c r="J77"/>
  <c r="I77"/>
  <c r="J76"/>
  <c r="I76"/>
  <c r="J75"/>
  <c r="I75"/>
  <c r="J74"/>
  <c r="I74"/>
  <c r="J73"/>
  <c r="I73"/>
  <c r="J72"/>
  <c r="I72"/>
  <c r="J71"/>
  <c r="I71"/>
  <c r="J70"/>
  <c r="I70"/>
  <c r="J69"/>
  <c r="I69"/>
  <c r="J68"/>
  <c r="I68"/>
  <c r="J67"/>
  <c r="I67"/>
  <c r="J66"/>
  <c r="I66"/>
  <c r="J65"/>
  <c r="I65"/>
  <c r="J64"/>
  <c r="I64"/>
  <c r="J63"/>
  <c r="I63"/>
  <c r="J62"/>
  <c r="I62"/>
  <c r="J61"/>
  <c r="I61"/>
  <c r="J60"/>
  <c r="I60"/>
  <c r="J59"/>
  <c r="I59"/>
  <c r="J58"/>
  <c r="I58"/>
  <c r="J57"/>
  <c r="I57"/>
  <c r="J56"/>
  <c r="I56"/>
  <c r="J55"/>
  <c r="I55"/>
  <c r="J54"/>
  <c r="I54"/>
  <c r="J53"/>
  <c r="I53"/>
  <c r="J52"/>
  <c r="I52"/>
  <c r="J51"/>
  <c r="I51"/>
  <c r="J50"/>
  <c r="I50"/>
  <c r="J49"/>
  <c r="I49"/>
  <c r="J48"/>
  <c r="I48"/>
  <c r="J47"/>
  <c r="I47"/>
  <c r="J46"/>
  <c r="I46"/>
  <c r="J45"/>
  <c r="I45"/>
  <c r="J44"/>
  <c r="I44"/>
  <c r="J43"/>
  <c r="I43"/>
  <c r="J42"/>
  <c r="I42"/>
  <c r="J41"/>
  <c r="I41"/>
  <c r="J40"/>
  <c r="I40"/>
  <c r="J39"/>
  <c r="I39"/>
  <c r="J38"/>
  <c r="I38"/>
  <c r="J37"/>
  <c r="I37"/>
  <c r="J36"/>
  <c r="I36"/>
  <c r="J35"/>
  <c r="I35"/>
  <c r="J34"/>
  <c r="I34"/>
  <c r="J33"/>
  <c r="I33"/>
  <c r="J32"/>
  <c r="I32"/>
  <c r="J31"/>
  <c r="I31"/>
  <c r="J30"/>
  <c r="I30"/>
  <c r="J29"/>
  <c r="I29"/>
  <c r="J28"/>
  <c r="I28"/>
  <c r="J27"/>
  <c r="I27"/>
  <c r="J26"/>
  <c r="I26"/>
  <c r="J25"/>
  <c r="I25"/>
  <c r="J24"/>
  <c r="I24"/>
  <c r="J23"/>
  <c r="I23"/>
  <c r="J22"/>
  <c r="I22"/>
  <c r="J21"/>
  <c r="I21"/>
  <c r="J20"/>
  <c r="I20"/>
  <c r="J19"/>
  <c r="I19"/>
  <c r="J18"/>
  <c r="I18"/>
  <c r="J17"/>
  <c r="I17"/>
  <c r="J16"/>
  <c r="I16"/>
  <c r="J15"/>
  <c r="I15"/>
  <c r="J14"/>
  <c r="I14"/>
  <c r="J13"/>
  <c r="I13"/>
  <c r="J12"/>
  <c r="I12"/>
  <c r="J11"/>
  <c r="I11"/>
  <c r="J10"/>
  <c r="I10"/>
  <c r="J9"/>
  <c r="I9"/>
  <c r="J8"/>
  <c r="I8"/>
  <c r="J7"/>
  <c r="I7"/>
  <c r="J6"/>
  <c r="I6"/>
  <c r="J5"/>
  <c r="I5"/>
  <c r="J4"/>
  <c r="I4"/>
  <c r="H66"/>
  <c r="H65"/>
  <c r="H64"/>
  <c r="H94"/>
  <c r="H93"/>
  <c r="H92"/>
  <c r="H91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5"/>
  <c r="H14"/>
  <c r="H17"/>
  <c r="H16"/>
  <c r="H13"/>
  <c r="H11"/>
  <c r="H10"/>
  <c r="H9"/>
  <c r="H8"/>
  <c r="H7"/>
  <c r="H6"/>
  <c r="H5"/>
  <c r="H4"/>
  <c r="N16" i="11" l="1"/>
  <c r="N4"/>
  <c r="I135" i="1"/>
  <c r="F1" i="8" l="1"/>
  <c r="G2"/>
  <c r="F2"/>
  <c r="H189" i="1"/>
  <c r="J192"/>
  <c r="F192"/>
  <c r="R198" l="1"/>
  <c r="R197"/>
  <c r="R194"/>
  <c r="R193"/>
  <c r="R191"/>
  <c r="R187"/>
  <c r="R186"/>
  <c r="R185"/>
  <c r="R181"/>
  <c r="R179" s="1"/>
  <c r="R178"/>
  <c r="R177"/>
  <c r="R176"/>
  <c r="R175"/>
  <c r="R167"/>
  <c r="R166"/>
  <c r="R163"/>
  <c r="R161" s="1"/>
  <c r="R160"/>
  <c r="R159"/>
  <c r="R155"/>
  <c r="R153" s="1"/>
  <c r="R152" s="1"/>
  <c r="R151"/>
  <c r="R149" s="1"/>
  <c r="R148"/>
  <c r="R146" s="1"/>
  <c r="R145"/>
  <c r="R143" s="1"/>
  <c r="R142"/>
  <c r="R141"/>
  <c r="R140"/>
  <c r="R136"/>
  <c r="R135"/>
  <c r="R134"/>
  <c r="R133"/>
  <c r="R132"/>
  <c r="R131"/>
  <c r="R129"/>
  <c r="R128"/>
  <c r="R124"/>
  <c r="R122" s="1"/>
  <c r="R121"/>
  <c r="R120"/>
  <c r="R119"/>
  <c r="R118"/>
  <c r="R117"/>
  <c r="R116"/>
  <c r="R115"/>
  <c r="R112"/>
  <c r="R110" s="1"/>
  <c r="R109"/>
  <c r="R107" s="1"/>
  <c r="R106"/>
  <c r="R105"/>
  <c r="R104"/>
  <c r="R101"/>
  <c r="R100" s="1"/>
  <c r="R99"/>
  <c r="R98"/>
  <c r="R97"/>
  <c r="R96"/>
  <c r="R95"/>
  <c r="R94"/>
  <c r="R93"/>
  <c r="R92"/>
  <c r="R88"/>
  <c r="R87"/>
  <c r="R86"/>
  <c r="R85"/>
  <c r="R84"/>
  <c r="R81"/>
  <c r="R80"/>
  <c r="R79"/>
  <c r="R78"/>
  <c r="R75"/>
  <c r="R74"/>
  <c r="R72"/>
  <c r="R71"/>
  <c r="R70"/>
  <c r="R64"/>
  <c r="R61"/>
  <c r="R60"/>
  <c r="R57"/>
  <c r="R56"/>
  <c r="R53"/>
  <c r="R52"/>
  <c r="R49"/>
  <c r="R48"/>
  <c r="R47"/>
  <c r="R46"/>
  <c r="R45"/>
  <c r="R44"/>
  <c r="R40"/>
  <c r="R38" s="1"/>
  <c r="R37"/>
  <c r="R36"/>
  <c r="R33"/>
  <c r="R32"/>
  <c r="R29"/>
  <c r="R28"/>
  <c r="R27"/>
  <c r="R26"/>
  <c r="R25"/>
  <c r="R24"/>
  <c r="R23"/>
  <c r="R22"/>
  <c r="R18"/>
  <c r="R16"/>
  <c r="R15"/>
  <c r="R14"/>
  <c r="R13"/>
  <c r="R12"/>
  <c r="N198"/>
  <c r="N197"/>
  <c r="N194"/>
  <c r="N193"/>
  <c r="N191"/>
  <c r="N187"/>
  <c r="N186"/>
  <c r="N185"/>
  <c r="N181"/>
  <c r="N179" s="1"/>
  <c r="N178"/>
  <c r="N177"/>
  <c r="N167"/>
  <c r="N166"/>
  <c r="N163"/>
  <c r="N161" s="1"/>
  <c r="N160"/>
  <c r="N159"/>
  <c r="N151"/>
  <c r="N149" s="1"/>
  <c r="N148"/>
  <c r="N146" s="1"/>
  <c r="N145"/>
  <c r="N143" s="1"/>
  <c r="N142"/>
  <c r="N141"/>
  <c r="N140"/>
  <c r="N136"/>
  <c r="N135"/>
  <c r="N134"/>
  <c r="N133"/>
  <c r="N132"/>
  <c r="N131"/>
  <c r="N129"/>
  <c r="N128"/>
  <c r="N124"/>
  <c r="N122" s="1"/>
  <c r="N121"/>
  <c r="N120"/>
  <c r="N119"/>
  <c r="N118"/>
  <c r="N117"/>
  <c r="N116"/>
  <c r="N115"/>
  <c r="N112"/>
  <c r="N110" s="1"/>
  <c r="N109"/>
  <c r="N107" s="1"/>
  <c r="N106"/>
  <c r="N105"/>
  <c r="N104"/>
  <c r="N101"/>
  <c r="N100" s="1"/>
  <c r="N99"/>
  <c r="N98"/>
  <c r="N97"/>
  <c r="N96"/>
  <c r="N95"/>
  <c r="N94"/>
  <c r="N93"/>
  <c r="N92"/>
  <c r="N88"/>
  <c r="N87"/>
  <c r="N86"/>
  <c r="N85"/>
  <c r="N84"/>
  <c r="N81"/>
  <c r="N80"/>
  <c r="N79"/>
  <c r="N78"/>
  <c r="N75"/>
  <c r="N74"/>
  <c r="N73"/>
  <c r="N72"/>
  <c r="N71"/>
  <c r="N70"/>
  <c r="N64"/>
  <c r="N61"/>
  <c r="N60"/>
  <c r="N57"/>
  <c r="N53"/>
  <c r="N52"/>
  <c r="N49"/>
  <c r="N48"/>
  <c r="N47"/>
  <c r="N46"/>
  <c r="N45"/>
  <c r="N44"/>
  <c r="N40"/>
  <c r="N38" s="1"/>
  <c r="N37"/>
  <c r="N36"/>
  <c r="N32"/>
  <c r="N29"/>
  <c r="N28"/>
  <c r="N27"/>
  <c r="N26"/>
  <c r="N25"/>
  <c r="N24"/>
  <c r="N23"/>
  <c r="N22"/>
  <c r="N18"/>
  <c r="N16"/>
  <c r="N15"/>
  <c r="N14"/>
  <c r="N12"/>
  <c r="J198"/>
  <c r="J197"/>
  <c r="J193"/>
  <c r="J191"/>
  <c r="J187"/>
  <c r="J186"/>
  <c r="J185"/>
  <c r="J184"/>
  <c r="J181"/>
  <c r="J178"/>
  <c r="J177"/>
  <c r="J176"/>
  <c r="J175"/>
  <c r="J172"/>
  <c r="J171"/>
  <c r="J167"/>
  <c r="J166"/>
  <c r="J163"/>
  <c r="J160"/>
  <c r="J159"/>
  <c r="J155"/>
  <c r="J151"/>
  <c r="J148"/>
  <c r="J145"/>
  <c r="J142"/>
  <c r="J141"/>
  <c r="J136"/>
  <c r="J135"/>
  <c r="J134"/>
  <c r="J133"/>
  <c r="J132"/>
  <c r="J131"/>
  <c r="J129"/>
  <c r="J128"/>
  <c r="J124"/>
  <c r="J121"/>
  <c r="J119"/>
  <c r="J118"/>
  <c r="J117"/>
  <c r="J116"/>
  <c r="J115"/>
  <c r="J112"/>
  <c r="J109"/>
  <c r="J106"/>
  <c r="J105"/>
  <c r="J101"/>
  <c r="J100" s="1"/>
  <c r="J99"/>
  <c r="J98"/>
  <c r="J97"/>
  <c r="J96"/>
  <c r="J95"/>
  <c r="J94"/>
  <c r="J93"/>
  <c r="J92"/>
  <c r="J88"/>
  <c r="J87"/>
  <c r="J86"/>
  <c r="J85"/>
  <c r="J84"/>
  <c r="J81"/>
  <c r="J80"/>
  <c r="J79"/>
  <c r="J78"/>
  <c r="J75"/>
  <c r="J74"/>
  <c r="J73"/>
  <c r="J72"/>
  <c r="J71"/>
  <c r="J70"/>
  <c r="J66"/>
  <c r="J65"/>
  <c r="J64"/>
  <c r="J61"/>
  <c r="J60"/>
  <c r="J57"/>
  <c r="J56"/>
  <c r="J53"/>
  <c r="J52"/>
  <c r="J49"/>
  <c r="J47"/>
  <c r="J45"/>
  <c r="J44"/>
  <c r="J40"/>
  <c r="J37"/>
  <c r="J36"/>
  <c r="J33"/>
  <c r="J32"/>
  <c r="J29"/>
  <c r="J28"/>
  <c r="J27"/>
  <c r="J26"/>
  <c r="J25"/>
  <c r="J24"/>
  <c r="J23"/>
  <c r="J22"/>
  <c r="J19"/>
  <c r="J18"/>
  <c r="J17"/>
  <c r="J16"/>
  <c r="J15"/>
  <c r="J14"/>
  <c r="U89"/>
  <c r="T89"/>
  <c r="Q89"/>
  <c r="P89"/>
  <c r="M89"/>
  <c r="L89"/>
  <c r="U103"/>
  <c r="T103"/>
  <c r="S103"/>
  <c r="Q103"/>
  <c r="P103"/>
  <c r="O103"/>
  <c r="M103"/>
  <c r="L103"/>
  <c r="U107"/>
  <c r="T107"/>
  <c r="S107"/>
  <c r="Q107"/>
  <c r="P107"/>
  <c r="O107"/>
  <c r="M107"/>
  <c r="L107"/>
  <c r="K107"/>
  <c r="U110"/>
  <c r="T110"/>
  <c r="S110"/>
  <c r="Q110"/>
  <c r="P110"/>
  <c r="O110"/>
  <c r="M110"/>
  <c r="L110"/>
  <c r="K110"/>
  <c r="I110"/>
  <c r="H110"/>
  <c r="G110"/>
  <c r="U113"/>
  <c r="T113"/>
  <c r="S113"/>
  <c r="Q113"/>
  <c r="P113"/>
  <c r="O113"/>
  <c r="M113"/>
  <c r="L113"/>
  <c r="U122"/>
  <c r="T122"/>
  <c r="S122"/>
  <c r="Q122"/>
  <c r="P122"/>
  <c r="O122"/>
  <c r="M122"/>
  <c r="L122"/>
  <c r="K122"/>
  <c r="I122"/>
  <c r="H122"/>
  <c r="G122"/>
  <c r="U126"/>
  <c r="T126"/>
  <c r="S126"/>
  <c r="Q126"/>
  <c r="P126"/>
  <c r="O126"/>
  <c r="M126"/>
  <c r="L126"/>
  <c r="K126"/>
  <c r="U130"/>
  <c r="T130"/>
  <c r="S130"/>
  <c r="Q130"/>
  <c r="P130"/>
  <c r="O130"/>
  <c r="M130"/>
  <c r="L130"/>
  <c r="K130"/>
  <c r="U138"/>
  <c r="T138"/>
  <c r="S138"/>
  <c r="Q138"/>
  <c r="P138"/>
  <c r="O138"/>
  <c r="M138"/>
  <c r="K138"/>
  <c r="U146"/>
  <c r="T146"/>
  <c r="S146"/>
  <c r="Q146"/>
  <c r="P146"/>
  <c r="O146"/>
  <c r="M146"/>
  <c r="L146"/>
  <c r="K146"/>
  <c r="U153"/>
  <c r="T153"/>
  <c r="S153"/>
  <c r="Q153"/>
  <c r="P153"/>
  <c r="M152"/>
  <c r="L153"/>
  <c r="L152" s="1"/>
  <c r="K153"/>
  <c r="K152" s="1"/>
  <c r="I153"/>
  <c r="U157"/>
  <c r="T157"/>
  <c r="S157"/>
  <c r="Q157"/>
  <c r="P157"/>
  <c r="O157"/>
  <c r="M157"/>
  <c r="L157"/>
  <c r="K157"/>
  <c r="U164"/>
  <c r="T164"/>
  <c r="S164"/>
  <c r="Q164"/>
  <c r="P164"/>
  <c r="O164"/>
  <c r="M164"/>
  <c r="L164"/>
  <c r="K164"/>
  <c r="U169"/>
  <c r="Q169"/>
  <c r="M169"/>
  <c r="L169"/>
  <c r="K169"/>
  <c r="U173"/>
  <c r="T173"/>
  <c r="S173"/>
  <c r="Q173"/>
  <c r="M173"/>
  <c r="L173"/>
  <c r="K173"/>
  <c r="U182"/>
  <c r="T182"/>
  <c r="Q182"/>
  <c r="P182"/>
  <c r="M182"/>
  <c r="L182"/>
  <c r="K182"/>
  <c r="U189"/>
  <c r="T189"/>
  <c r="S189"/>
  <c r="Q189"/>
  <c r="P189"/>
  <c r="O189"/>
  <c r="M189"/>
  <c r="L189"/>
  <c r="U195"/>
  <c r="T195"/>
  <c r="S195"/>
  <c r="Q195"/>
  <c r="P195"/>
  <c r="O195"/>
  <c r="M195"/>
  <c r="L195"/>
  <c r="K195"/>
  <c r="K10"/>
  <c r="L10"/>
  <c r="M10"/>
  <c r="K20"/>
  <c r="L20"/>
  <c r="M20"/>
  <c r="K30"/>
  <c r="L30"/>
  <c r="M30"/>
  <c r="K34"/>
  <c r="L34"/>
  <c r="M34"/>
  <c r="K38"/>
  <c r="L38"/>
  <c r="M38"/>
  <c r="M42"/>
  <c r="K46"/>
  <c r="L46"/>
  <c r="L42" s="1"/>
  <c r="K48"/>
  <c r="J48" s="1"/>
  <c r="K50"/>
  <c r="L50"/>
  <c r="M50"/>
  <c r="K54"/>
  <c r="L54"/>
  <c r="M54"/>
  <c r="L58"/>
  <c r="M58"/>
  <c r="K58"/>
  <c r="K62"/>
  <c r="L62"/>
  <c r="M62"/>
  <c r="K68"/>
  <c r="L68"/>
  <c r="M68"/>
  <c r="K76"/>
  <c r="L76"/>
  <c r="M76"/>
  <c r="K82"/>
  <c r="L82"/>
  <c r="M82"/>
  <c r="K91"/>
  <c r="J91" s="1"/>
  <c r="K100"/>
  <c r="L100"/>
  <c r="M100"/>
  <c r="K104"/>
  <c r="J104" s="1"/>
  <c r="K120"/>
  <c r="L140"/>
  <c r="J140" s="1"/>
  <c r="K143"/>
  <c r="L143"/>
  <c r="M143"/>
  <c r="K149"/>
  <c r="L149"/>
  <c r="M149"/>
  <c r="K161"/>
  <c r="L161"/>
  <c r="M161"/>
  <c r="K179"/>
  <c r="L179"/>
  <c r="M179"/>
  <c r="K194"/>
  <c r="J194" s="1"/>
  <c r="I126"/>
  <c r="H126"/>
  <c r="G126"/>
  <c r="I138"/>
  <c r="H153"/>
  <c r="I157"/>
  <c r="H157"/>
  <c r="G157"/>
  <c r="I164"/>
  <c r="H164"/>
  <c r="G164"/>
  <c r="I169"/>
  <c r="H169"/>
  <c r="G169"/>
  <c r="I173"/>
  <c r="G173"/>
  <c r="H182"/>
  <c r="I189"/>
  <c r="I195"/>
  <c r="H195"/>
  <c r="G195"/>
  <c r="F198"/>
  <c r="F197"/>
  <c r="F194"/>
  <c r="F191"/>
  <c r="F187"/>
  <c r="F186"/>
  <c r="F185"/>
  <c r="F178"/>
  <c r="F177"/>
  <c r="F175"/>
  <c r="F172"/>
  <c r="F171"/>
  <c r="F167"/>
  <c r="F166"/>
  <c r="F163"/>
  <c r="F160"/>
  <c r="F159"/>
  <c r="F151"/>
  <c r="F148"/>
  <c r="F145"/>
  <c r="F136"/>
  <c r="F135"/>
  <c r="F129"/>
  <c r="F128"/>
  <c r="F124"/>
  <c r="F122" s="1"/>
  <c r="F117"/>
  <c r="F115"/>
  <c r="F112"/>
  <c r="F109"/>
  <c r="F106"/>
  <c r="F105"/>
  <c r="F101"/>
  <c r="F99"/>
  <c r="F98"/>
  <c r="F97"/>
  <c r="F96"/>
  <c r="F95"/>
  <c r="F94"/>
  <c r="F92"/>
  <c r="F88"/>
  <c r="F87"/>
  <c r="F86"/>
  <c r="F85"/>
  <c r="F84"/>
  <c r="U82"/>
  <c r="T82"/>
  <c r="S82"/>
  <c r="Q82"/>
  <c r="P82"/>
  <c r="O82"/>
  <c r="I82"/>
  <c r="H82"/>
  <c r="G82"/>
  <c r="F81"/>
  <c r="F80"/>
  <c r="F79"/>
  <c r="F78"/>
  <c r="U76"/>
  <c r="T76"/>
  <c r="S76"/>
  <c r="Q76"/>
  <c r="P76"/>
  <c r="O76"/>
  <c r="I76"/>
  <c r="H76"/>
  <c r="G76"/>
  <c r="F75"/>
  <c r="F74"/>
  <c r="F73"/>
  <c r="F72"/>
  <c r="F71"/>
  <c r="F70"/>
  <c r="U68"/>
  <c r="T68"/>
  <c r="Q68"/>
  <c r="P68"/>
  <c r="O68"/>
  <c r="I68"/>
  <c r="H68"/>
  <c r="G68"/>
  <c r="U62"/>
  <c r="T62"/>
  <c r="Q62"/>
  <c r="P62"/>
  <c r="I62"/>
  <c r="H62"/>
  <c r="U58"/>
  <c r="T58"/>
  <c r="S58"/>
  <c r="Q58"/>
  <c r="P58"/>
  <c r="O58"/>
  <c r="I58"/>
  <c r="H58"/>
  <c r="G58"/>
  <c r="U54"/>
  <c r="T54"/>
  <c r="S54"/>
  <c r="Q54"/>
  <c r="I54"/>
  <c r="U50"/>
  <c r="T50"/>
  <c r="S50"/>
  <c r="Q50"/>
  <c r="P50"/>
  <c r="O50"/>
  <c r="I50"/>
  <c r="H50"/>
  <c r="G50"/>
  <c r="F65"/>
  <c r="F64"/>
  <c r="F61"/>
  <c r="F60"/>
  <c r="F57"/>
  <c r="F53"/>
  <c r="F52"/>
  <c r="F44"/>
  <c r="F49"/>
  <c r="F47"/>
  <c r="F46"/>
  <c r="F45"/>
  <c r="U42"/>
  <c r="T42"/>
  <c r="S42"/>
  <c r="Q42"/>
  <c r="P42"/>
  <c r="O42"/>
  <c r="I42"/>
  <c r="H42"/>
  <c r="I34"/>
  <c r="H34"/>
  <c r="G34"/>
  <c r="Q34"/>
  <c r="P34"/>
  <c r="O34"/>
  <c r="U34"/>
  <c r="T34"/>
  <c r="S34"/>
  <c r="F37"/>
  <c r="F36"/>
  <c r="F33"/>
  <c r="F32"/>
  <c r="U30"/>
  <c r="T30"/>
  <c r="S30"/>
  <c r="Q30"/>
  <c r="P30"/>
  <c r="I30"/>
  <c r="H30"/>
  <c r="G30"/>
  <c r="F29"/>
  <c r="F28"/>
  <c r="F27"/>
  <c r="F26"/>
  <c r="F25"/>
  <c r="F24"/>
  <c r="F23"/>
  <c r="F22"/>
  <c r="U20"/>
  <c r="T20"/>
  <c r="S20"/>
  <c r="Q20"/>
  <c r="P20"/>
  <c r="O20"/>
  <c r="I20"/>
  <c r="H20"/>
  <c r="G20"/>
  <c r="F16"/>
  <c r="F15"/>
  <c r="F14"/>
  <c r="F13"/>
  <c r="F12"/>
  <c r="U10"/>
  <c r="T10"/>
  <c r="Q10"/>
  <c r="I10"/>
  <c r="H10"/>
  <c r="J46" l="1"/>
  <c r="V46" s="1"/>
  <c r="R195"/>
  <c r="L138"/>
  <c r="L137" s="1"/>
  <c r="K113"/>
  <c r="K103"/>
  <c r="K189"/>
  <c r="K188" s="1"/>
  <c r="K89"/>
  <c r="K67" s="1"/>
  <c r="J120"/>
  <c r="J113" s="1"/>
  <c r="V22"/>
  <c r="V24"/>
  <c r="V28"/>
  <c r="N50"/>
  <c r="R54"/>
  <c r="N58"/>
  <c r="F76"/>
  <c r="V135"/>
  <c r="M102"/>
  <c r="N189"/>
  <c r="V23"/>
  <c r="V27"/>
  <c r="V29"/>
  <c r="M168"/>
  <c r="K168"/>
  <c r="L156"/>
  <c r="L188"/>
  <c r="O188"/>
  <c r="Q188"/>
  <c r="T188"/>
  <c r="J195"/>
  <c r="N76"/>
  <c r="N113"/>
  <c r="N130"/>
  <c r="N138"/>
  <c r="N137" s="1"/>
  <c r="N195"/>
  <c r="R103"/>
  <c r="R157"/>
  <c r="R189"/>
  <c r="J189"/>
  <c r="R113"/>
  <c r="J182"/>
  <c r="L168"/>
  <c r="L125"/>
  <c r="O125"/>
  <c r="Q125"/>
  <c r="T125"/>
  <c r="V32"/>
  <c r="V36"/>
  <c r="V61"/>
  <c r="V65"/>
  <c r="V70"/>
  <c r="V72"/>
  <c r="V80"/>
  <c r="V84"/>
  <c r="V86"/>
  <c r="V88"/>
  <c r="V92"/>
  <c r="V96"/>
  <c r="V98"/>
  <c r="V159"/>
  <c r="V167"/>
  <c r="V172"/>
  <c r="V178"/>
  <c r="V186"/>
  <c r="V198"/>
  <c r="N68"/>
  <c r="N157"/>
  <c r="R30"/>
  <c r="N34"/>
  <c r="N42"/>
  <c r="R50"/>
  <c r="R58"/>
  <c r="F82"/>
  <c r="F164"/>
  <c r="F169"/>
  <c r="F195"/>
  <c r="M137"/>
  <c r="L102"/>
  <c r="J38"/>
  <c r="J76"/>
  <c r="V78"/>
  <c r="J103"/>
  <c r="J110"/>
  <c r="V112"/>
  <c r="J143"/>
  <c r="V145"/>
  <c r="J149"/>
  <c r="V151"/>
  <c r="J161"/>
  <c r="V163"/>
  <c r="D9" i="8"/>
  <c r="L9" i="1"/>
  <c r="V15"/>
  <c r="J50"/>
  <c r="V53"/>
  <c r="J58"/>
  <c r="V106"/>
  <c r="V129"/>
  <c r="V136"/>
  <c r="V13"/>
  <c r="F50"/>
  <c r="J34"/>
  <c r="F30"/>
  <c r="F34"/>
  <c r="K125"/>
  <c r="J107"/>
  <c r="V109"/>
  <c r="J138"/>
  <c r="J146"/>
  <c r="V148"/>
  <c r="J153"/>
  <c r="J164"/>
  <c r="V166"/>
  <c r="J173"/>
  <c r="V175"/>
  <c r="J179"/>
  <c r="R34"/>
  <c r="F157"/>
  <c r="M156"/>
  <c r="K156"/>
  <c r="K137"/>
  <c r="L67"/>
  <c r="M188"/>
  <c r="P188"/>
  <c r="S188"/>
  <c r="U188"/>
  <c r="M125"/>
  <c r="P125"/>
  <c r="S125"/>
  <c r="U125"/>
  <c r="V16"/>
  <c r="J30"/>
  <c r="V33"/>
  <c r="V37"/>
  <c r="V45"/>
  <c r="V47"/>
  <c r="V49"/>
  <c r="V52"/>
  <c r="J54"/>
  <c r="V57"/>
  <c r="V60"/>
  <c r="V64"/>
  <c r="J62"/>
  <c r="V71"/>
  <c r="V73"/>
  <c r="V75"/>
  <c r="V79"/>
  <c r="V81"/>
  <c r="V85"/>
  <c r="V87"/>
  <c r="V95"/>
  <c r="V97"/>
  <c r="V101"/>
  <c r="V105"/>
  <c r="V115"/>
  <c r="V117"/>
  <c r="J126"/>
  <c r="J130"/>
  <c r="V160"/>
  <c r="J169"/>
  <c r="V177"/>
  <c r="V185"/>
  <c r="V187"/>
  <c r="V191"/>
  <c r="V194"/>
  <c r="V197"/>
  <c r="N82"/>
  <c r="N103"/>
  <c r="N126"/>
  <c r="N164"/>
  <c r="R42"/>
  <c r="R76"/>
  <c r="R82"/>
  <c r="R126"/>
  <c r="R130"/>
  <c r="R138"/>
  <c r="R137" s="1"/>
  <c r="R164"/>
  <c r="R173"/>
  <c r="V12"/>
  <c r="F126"/>
  <c r="V128"/>
  <c r="J122"/>
  <c r="V122" s="1"/>
  <c r="V124"/>
  <c r="J89"/>
  <c r="L41"/>
  <c r="M41"/>
  <c r="R20"/>
  <c r="N20"/>
  <c r="J157"/>
  <c r="F68"/>
  <c r="M9"/>
  <c r="J20"/>
  <c r="J82"/>
  <c r="J68"/>
  <c r="K9"/>
  <c r="J10"/>
  <c r="M67"/>
  <c r="K42"/>
  <c r="F20"/>
  <c r="F58"/>
  <c r="J188" l="1"/>
  <c r="N125"/>
  <c r="D7" i="8"/>
  <c r="N188" i="1"/>
  <c r="D12" i="8"/>
  <c r="N156" i="1"/>
  <c r="K102"/>
  <c r="D6" i="8" s="1"/>
  <c r="D3"/>
  <c r="V82" i="1"/>
  <c r="V30"/>
  <c r="D10" i="8"/>
  <c r="V76" i="1"/>
  <c r="R188"/>
  <c r="D5" i="8"/>
  <c r="R102" i="1"/>
  <c r="N102"/>
  <c r="V195"/>
  <c r="D11" i="8"/>
  <c r="J168" i="1"/>
  <c r="V164"/>
  <c r="L8"/>
  <c r="R156"/>
  <c r="V169"/>
  <c r="V68"/>
  <c r="R125"/>
  <c r="V50"/>
  <c r="J42"/>
  <c r="J156"/>
  <c r="V157"/>
  <c r="D8" i="8"/>
  <c r="J152" i="1"/>
  <c r="J137"/>
  <c r="J125"/>
  <c r="V34"/>
  <c r="V58"/>
  <c r="V126"/>
  <c r="J102"/>
  <c r="M8"/>
  <c r="V20"/>
  <c r="J9"/>
  <c r="J67"/>
  <c r="K41"/>
  <c r="K8" l="1"/>
  <c r="G1" i="8" s="1"/>
  <c r="D4"/>
  <c r="D2" s="1"/>
  <c r="J41" i="1"/>
  <c r="J8" s="1"/>
  <c r="G118"/>
  <c r="F118" s="1"/>
  <c r="V118" s="1"/>
  <c r="G119"/>
  <c r="F119" s="1"/>
  <c r="V119" s="1"/>
  <c r="G120"/>
  <c r="G116"/>
  <c r="F116" s="1"/>
  <c r="H140"/>
  <c r="F140" l="1"/>
  <c r="H138"/>
  <c r="F120"/>
  <c r="I130"/>
  <c r="I125" s="1"/>
  <c r="V140" l="1"/>
  <c r="S73"/>
  <c r="H113"/>
  <c r="I113"/>
  <c r="R73" l="1"/>
  <c r="R68" s="1"/>
  <c r="S68"/>
  <c r="G134"/>
  <c r="H133"/>
  <c r="G132"/>
  <c r="H131"/>
  <c r="S17"/>
  <c r="R17" s="1"/>
  <c r="O17"/>
  <c r="N17" s="1"/>
  <c r="G17"/>
  <c r="S19"/>
  <c r="R19" s="1"/>
  <c r="O19"/>
  <c r="N19" s="1"/>
  <c r="G19"/>
  <c r="O33"/>
  <c r="N33" s="1"/>
  <c r="I103"/>
  <c r="H103"/>
  <c r="S65"/>
  <c r="O65"/>
  <c r="O66"/>
  <c r="N66" s="1"/>
  <c r="S66"/>
  <c r="R66" s="1"/>
  <c r="G66"/>
  <c r="G48"/>
  <c r="H176"/>
  <c r="G193"/>
  <c r="G189" s="1"/>
  <c r="S184"/>
  <c r="O184"/>
  <c r="G184"/>
  <c r="I182"/>
  <c r="H181"/>
  <c r="G181"/>
  <c r="F181" s="1"/>
  <c r="V181" s="1"/>
  <c r="U179"/>
  <c r="T179"/>
  <c r="S179"/>
  <c r="Q179"/>
  <c r="P179"/>
  <c r="O179"/>
  <c r="I179"/>
  <c r="H179"/>
  <c r="P176"/>
  <c r="O176"/>
  <c r="P175"/>
  <c r="P173" s="1"/>
  <c r="O175"/>
  <c r="S172"/>
  <c r="R172" s="1"/>
  <c r="O172"/>
  <c r="N172" s="1"/>
  <c r="T171"/>
  <c r="T169" s="1"/>
  <c r="S171"/>
  <c r="P171"/>
  <c r="P169" s="1"/>
  <c r="O171"/>
  <c r="U168"/>
  <c r="F161"/>
  <c r="V161" s="1"/>
  <c r="U161"/>
  <c r="U156" s="1"/>
  <c r="T161"/>
  <c r="S161"/>
  <c r="S156" s="1"/>
  <c r="Q161"/>
  <c r="P161"/>
  <c r="O161"/>
  <c r="I161"/>
  <c r="I156" s="1"/>
  <c r="H161"/>
  <c r="G161"/>
  <c r="O155"/>
  <c r="G155"/>
  <c r="T152"/>
  <c r="Q152"/>
  <c r="H152"/>
  <c r="U152"/>
  <c r="S152"/>
  <c r="P152"/>
  <c r="I152"/>
  <c r="U149"/>
  <c r="T149"/>
  <c r="S149"/>
  <c r="Q149"/>
  <c r="P149"/>
  <c r="O149"/>
  <c r="I149"/>
  <c r="H149"/>
  <c r="G149"/>
  <c r="F149"/>
  <c r="V149" s="1"/>
  <c r="I146"/>
  <c r="H146"/>
  <c r="G146"/>
  <c r="F146"/>
  <c r="V146" s="1"/>
  <c r="U143"/>
  <c r="T143"/>
  <c r="S143"/>
  <c r="S137" s="1"/>
  <c r="Q143"/>
  <c r="P143"/>
  <c r="O143"/>
  <c r="I143"/>
  <c r="H143"/>
  <c r="G143"/>
  <c r="G142"/>
  <c r="F142" s="1"/>
  <c r="V142" s="1"/>
  <c r="G141"/>
  <c r="G121"/>
  <c r="F121" s="1"/>
  <c r="V121" s="1"/>
  <c r="F110"/>
  <c r="V110" s="1"/>
  <c r="F107"/>
  <c r="V107" s="1"/>
  <c r="I107"/>
  <c r="H107"/>
  <c r="H102" s="1"/>
  <c r="G104"/>
  <c r="F100"/>
  <c r="V100" s="1"/>
  <c r="U100"/>
  <c r="T100"/>
  <c r="S100"/>
  <c r="Q100"/>
  <c r="P100"/>
  <c r="O100"/>
  <c r="I100"/>
  <c r="H100"/>
  <c r="G100"/>
  <c r="G93"/>
  <c r="F93" s="1"/>
  <c r="S91"/>
  <c r="O91"/>
  <c r="G91"/>
  <c r="F91" s="1"/>
  <c r="I89"/>
  <c r="H89"/>
  <c r="T67"/>
  <c r="P56"/>
  <c r="P54" s="1"/>
  <c r="O56"/>
  <c r="H56"/>
  <c r="H54" s="1"/>
  <c r="G56"/>
  <c r="F40"/>
  <c r="U38"/>
  <c r="T38"/>
  <c r="S38"/>
  <c r="Q38"/>
  <c r="P38"/>
  <c r="O38"/>
  <c r="I38"/>
  <c r="H38"/>
  <c r="G38"/>
  <c r="G18"/>
  <c r="P13"/>
  <c r="P10" s="1"/>
  <c r="O13"/>
  <c r="O10" l="1"/>
  <c r="N10" s="1"/>
  <c r="N13"/>
  <c r="R91"/>
  <c r="R89" s="1"/>
  <c r="R67" s="1"/>
  <c r="S89"/>
  <c r="G153"/>
  <c r="F155"/>
  <c r="N184"/>
  <c r="N182" s="1"/>
  <c r="O182"/>
  <c r="F193"/>
  <c r="F189" s="1"/>
  <c r="V189" s="1"/>
  <c r="N65"/>
  <c r="N62" s="1"/>
  <c r="O62"/>
  <c r="G130"/>
  <c r="F132"/>
  <c r="F134"/>
  <c r="F18"/>
  <c r="V18" s="1"/>
  <c r="N91"/>
  <c r="N89" s="1"/>
  <c r="N67" s="1"/>
  <c r="O89"/>
  <c r="O67" s="1"/>
  <c r="G103"/>
  <c r="F104"/>
  <c r="V104" s="1"/>
  <c r="G138"/>
  <c r="F141"/>
  <c r="N155"/>
  <c r="N153" s="1"/>
  <c r="N152" s="1"/>
  <c r="O153"/>
  <c r="O152" s="1"/>
  <c r="N171"/>
  <c r="N169" s="1"/>
  <c r="O169"/>
  <c r="S169"/>
  <c r="R171"/>
  <c r="R169" s="1"/>
  <c r="O173"/>
  <c r="N175"/>
  <c r="G182"/>
  <c r="F184"/>
  <c r="F182" s="1"/>
  <c r="V182" s="1"/>
  <c r="R184"/>
  <c r="R182" s="1"/>
  <c r="S182"/>
  <c r="F176"/>
  <c r="H173"/>
  <c r="F66"/>
  <c r="F62" s="1"/>
  <c r="V62" s="1"/>
  <c r="G62"/>
  <c r="S62"/>
  <c r="S41" s="1"/>
  <c r="R65"/>
  <c r="R62" s="1"/>
  <c r="R41" s="1"/>
  <c r="F19"/>
  <c r="H130"/>
  <c r="H125" s="1"/>
  <c r="F131"/>
  <c r="F133"/>
  <c r="P9"/>
  <c r="N56"/>
  <c r="N176"/>
  <c r="G179"/>
  <c r="I168"/>
  <c r="G156"/>
  <c r="F38"/>
  <c r="V38" s="1"/>
  <c r="V40"/>
  <c r="O30"/>
  <c r="N30" s="1"/>
  <c r="O156"/>
  <c r="G54"/>
  <c r="F56"/>
  <c r="V56" s="1"/>
  <c r="O54"/>
  <c r="N54" s="1"/>
  <c r="F48"/>
  <c r="V48" s="1"/>
  <c r="G42"/>
  <c r="F17"/>
  <c r="V17" s="1"/>
  <c r="G10"/>
  <c r="S10"/>
  <c r="R10" s="1"/>
  <c r="R9" s="1"/>
  <c r="P67"/>
  <c r="O137"/>
  <c r="Q67"/>
  <c r="G107"/>
  <c r="S102"/>
  <c r="Q168"/>
  <c r="I188"/>
  <c r="T137"/>
  <c r="Q156"/>
  <c r="H67"/>
  <c r="T9"/>
  <c r="I9"/>
  <c r="P102"/>
  <c r="P137"/>
  <c r="P156"/>
  <c r="T156"/>
  <c r="U9"/>
  <c r="I137"/>
  <c r="T168"/>
  <c r="P168"/>
  <c r="G113"/>
  <c r="F143"/>
  <c r="V143" s="1"/>
  <c r="H156"/>
  <c r="C10" i="8" s="1"/>
  <c r="F179" i="1"/>
  <c r="V179" s="1"/>
  <c r="F156"/>
  <c r="V156" s="1"/>
  <c r="H137"/>
  <c r="U137"/>
  <c r="Q137"/>
  <c r="Q9"/>
  <c r="T102"/>
  <c r="I67"/>
  <c r="U67"/>
  <c r="O102"/>
  <c r="Q102"/>
  <c r="U102"/>
  <c r="I102"/>
  <c r="Q41"/>
  <c r="U41"/>
  <c r="H9"/>
  <c r="P41"/>
  <c r="I41"/>
  <c r="T41"/>
  <c r="H41"/>
  <c r="G188"/>
  <c r="H188"/>
  <c r="F89"/>
  <c r="V89" s="1"/>
  <c r="G89"/>
  <c r="S67"/>
  <c r="H168" l="1"/>
  <c r="F103"/>
  <c r="V103" s="1"/>
  <c r="G152"/>
  <c r="C9" i="8" s="1"/>
  <c r="O168" i="1"/>
  <c r="S168"/>
  <c r="G137"/>
  <c r="G41"/>
  <c r="N41"/>
  <c r="V141"/>
  <c r="F138"/>
  <c r="G125"/>
  <c r="C7" i="8" s="1"/>
  <c r="F153" i="1"/>
  <c r="V155"/>
  <c r="F130"/>
  <c r="N173"/>
  <c r="R168"/>
  <c r="R8" s="1"/>
  <c r="V176"/>
  <c r="F173"/>
  <c r="V173" s="1"/>
  <c r="N168"/>
  <c r="O41"/>
  <c r="O9"/>
  <c r="C12" i="8"/>
  <c r="C8"/>
  <c r="F10" i="1"/>
  <c r="V10" s="1"/>
  <c r="F42"/>
  <c r="V42" s="1"/>
  <c r="F54"/>
  <c r="V54" s="1"/>
  <c r="G67"/>
  <c r="C5" i="8" s="1"/>
  <c r="G102" i="1"/>
  <c r="C6" i="8" s="1"/>
  <c r="N9" i="1"/>
  <c r="P8"/>
  <c r="S9"/>
  <c r="F113"/>
  <c r="V113" s="1"/>
  <c r="I8"/>
  <c r="F67"/>
  <c r="V67" s="1"/>
  <c r="T8"/>
  <c r="H8"/>
  <c r="U8"/>
  <c r="G9"/>
  <c r="C3" i="8" s="1"/>
  <c r="Q8" i="1"/>
  <c r="G168"/>
  <c r="C11" i="8" s="1"/>
  <c r="C4" l="1"/>
  <c r="C2" s="1"/>
  <c r="E2" s="1"/>
  <c r="S8" i="1"/>
  <c r="O8"/>
  <c r="F125"/>
  <c r="V125" s="1"/>
  <c r="V130"/>
  <c r="V153"/>
  <c r="F152"/>
  <c r="V152" s="1"/>
  <c r="V138"/>
  <c r="F137"/>
  <c r="V137" s="1"/>
  <c r="F168"/>
  <c r="V168" s="1"/>
  <c r="N8"/>
  <c r="F9"/>
  <c r="V9" s="1"/>
  <c r="F41"/>
  <c r="V41" s="1"/>
  <c r="G8"/>
  <c r="F188"/>
  <c r="V188" s="1"/>
  <c r="F102"/>
  <c r="V102" s="1"/>
  <c r="F8" l="1"/>
  <c r="V8" s="1"/>
</calcChain>
</file>

<file path=xl/sharedStrings.xml><?xml version="1.0" encoding="utf-8"?>
<sst xmlns="http://schemas.openxmlformats.org/spreadsheetml/2006/main" count="1845" uniqueCount="458">
  <si>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</si>
  <si>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</si>
  <si>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</si>
  <si>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</si>
  <si>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</si>
  <si>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2019 год</t>
  </si>
  <si>
    <t>2020  год</t>
  </si>
  <si>
    <t>2021 год</t>
  </si>
  <si>
    <t xml:space="preserve">Плановые ассигнования*, в том числе </t>
  </si>
  <si>
    <t>Кассовое исполнение, в том числе</t>
  </si>
  <si>
    <t xml:space="preserve">Плановые ассигнования*, 
в том числе   </t>
  </si>
  <si>
    <t xml:space="preserve">Плановые ассигнования*, 
в том числе  </t>
  </si>
  <si>
    <t>ИТОГО</t>
  </si>
  <si>
    <t>за счет средств областного бюджета</t>
  </si>
  <si>
    <t>за счет средств федерального бюджета</t>
  </si>
  <si>
    <t>за счет средств местного бюджета**</t>
  </si>
  <si>
    <t>1</t>
  </si>
  <si>
    <t>ВСЕГО:</t>
  </si>
  <si>
    <t>Национальный проект "Демография"</t>
  </si>
  <si>
    <t>Х</t>
  </si>
  <si>
    <t>1.1</t>
  </si>
  <si>
    <t>Региональный проект "Старшее поколение", всего</t>
  </si>
  <si>
    <t>из них</t>
  </si>
  <si>
    <t>024</t>
  </si>
  <si>
    <t>Организация профессионального обучения и дополнительного профессионального образования лиц предпенсионного возраста</t>
  </si>
  <si>
    <t>Департамент труда и занятости населения Томской области</t>
  </si>
  <si>
    <t>051P352940</t>
  </si>
  <si>
    <t>Возмещение затрат работодателям на профессиональное обучение и дополнительное профессиональное образование работников из числа лиц предпенсионного возраста</t>
  </si>
  <si>
    <t>051P352941</t>
  </si>
  <si>
    <t>Проведение дополнительных скринингов лицам старше 65 лет, проживающим в сельской местности, на выявление отдельных социально значимых неинфекционных заболеваний, оказывающих вклад в структуру смертности населения, с возможностью доставки данных лиц в медицинские организации</t>
  </si>
  <si>
    <t>Департамент здравоохранения Томской области</t>
  </si>
  <si>
    <t>071P352950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</si>
  <si>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</si>
  <si>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071P354680</t>
  </si>
  <si>
    <t>022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</si>
  <si>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</t>
  </si>
  <si>
    <t>Департамент архитектуры и строительства Томской области</t>
  </si>
  <si>
    <t>112P351210</t>
  </si>
  <si>
    <t>Приобретение автотранспорта</t>
  </si>
  <si>
    <t>Департамент социальной защиты населения Томской области</t>
  </si>
  <si>
    <t>112P352930</t>
  </si>
  <si>
    <t>Бюджетные ассигнования на объекты капитального строительства государственной собственности в сфере социального обслуживания населения</t>
  </si>
  <si>
    <t>112P30И000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</si>
  <si>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</si>
  <si>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</si>
  <si>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</si>
  <si>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</si>
  <si>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081P552280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</si>
  <si>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</si>
  <si>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082P552290</t>
  </si>
  <si>
    <t>Создание и модернизация объектов спортивной инфраструктуры муниципальной собственности для занятий физической культурой и спортом</t>
  </si>
  <si>
    <t>083P551390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</si>
  <si>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</si>
  <si>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081P500001</t>
  </si>
  <si>
    <t>Приобретение спортивного инвентаря и оборудования для спортивных школ</t>
  </si>
  <si>
    <t>082P500002</t>
  </si>
  <si>
    <t>Обеспечение условий для развития физической культуры и массового спорта</t>
  </si>
  <si>
    <t>081P500003</t>
  </si>
  <si>
    <t>1.3</t>
  </si>
  <si>
    <t>Региональный проект "Содействие занятости женщин - создание условий дошкольного образования для детей в возрасте до трех лет", всего</t>
  </si>
  <si>
    <t>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</si>
  <si>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092P251590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</si>
  <si>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</si>
  <si>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092P252320</t>
  </si>
  <si>
    <t>1.4</t>
  </si>
  <si>
    <t>Региональный проект "Финансовая поддержка семей при рождении детей", всего</t>
  </si>
  <si>
    <t>023</t>
  </si>
  <si>
    <t>Осуществление ежемесячной выплаты в связи с рождением (усыновлением) первого ребенка</t>
  </si>
  <si>
    <t>111P155730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</si>
  <si>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</si>
  <si>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111P1Д0840</t>
  </si>
  <si>
    <t xml:space="preserve">1.5 </t>
  </si>
  <si>
    <t>Региональный проект "Укрепление общественного здоровья"</t>
  </si>
  <si>
    <t>Создание и демонстрация рекламно - информационных материалов в СМИ, сети "Интернет", в медицинских организациях и общественных местах, разработка печатной продукции по формированию здорового образа жизни</t>
  </si>
  <si>
    <t>071P4Д0003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</si>
  <si>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</si>
  <si>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</si>
  <si>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</si>
  <si>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</si>
  <si>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Оснащение медицинских организаций передвижными медицинскими комплексами для оказания медицинской помощи жителям населенных пунктов с численностью населения до 100 человек</t>
  </si>
  <si>
    <t>071N151910</t>
  </si>
  <si>
    <t>Создание и замена фельдшерских, фельдшерско-акушерских пунктов и врачебных амбулаторий для населенных пунктов с численностью населения от 100 до 2000 человек</t>
  </si>
  <si>
    <t>071N151960</t>
  </si>
  <si>
    <t>Обеспечение закупки авиационных работ органами государственной власти субъектов Российской Федерации в целях оказания медицинской помощи</t>
  </si>
  <si>
    <t>072N155540</t>
  </si>
  <si>
    <t>Организация проведения профилактических медицинских осмотров</t>
  </si>
  <si>
    <t>071N100001</t>
  </si>
  <si>
    <t>Оказание медицинской помощи с применением санитарной авиации</t>
  </si>
  <si>
    <t>072N1Д5540</t>
  </si>
  <si>
    <t>Функционирование регионального проектного офиса по созданию и внедрению "Новой модели медицинской организации, оказывающей первичную медико-санитарную помощь"</t>
  </si>
  <si>
    <t>076N100101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</si>
  <si>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</si>
  <si>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</si>
  <si>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</si>
  <si>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072N251920</t>
  </si>
  <si>
    <t>Профилактика развития сердечно-сосудистых заболеваний и сердечно-сосудистых осложнений у пациентов высокого риска</t>
  </si>
  <si>
    <t>071N2Д0002</t>
  </si>
  <si>
    <t>2.3</t>
  </si>
  <si>
    <t>Региональный проект "Развитие детского здравоохранения, включая создание современной инфраструктуры оказания медицинской помощи детям", всего</t>
  </si>
  <si>
    <t>Развитие материально-технической базы детских поликлиник и детских поликлинических отделений медицинских организаций, оказывающих первичную медико-санитарную помощь</t>
  </si>
  <si>
    <t>073N451700</t>
  </si>
  <si>
    <t>Развитие профилактического направления в педиатрии</t>
  </si>
  <si>
    <t>071N400004</t>
  </si>
  <si>
    <t>2.4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</si>
  <si>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(ЕГИСЗ)", всего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</si>
  <si>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</si>
  <si>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076N751140</t>
  </si>
  <si>
    <t>Обеспечение работоспособности государственных информационных систем в сфере здравоохранения, подключенных к ЕГИСЗ</t>
  </si>
  <si>
    <t>076N751141</t>
  </si>
  <si>
    <t>2.5</t>
  </si>
  <si>
    <t>Региональный проект "Борьба с онкологическими заболеваниями", всего</t>
  </si>
  <si>
    <t>Создание и оснащение референс-центров для проведения иммуногистохимических, патоморфологических исследований и лучевых методов исследований, переоснащение сети региональных медицинских организаций, оказывающих помощь больным онкологическими заболеваниями в субъектах Российской Федерации</t>
  </si>
  <si>
    <t>072N351900</t>
  </si>
  <si>
    <t>Софинансирование капитальных вложений в объекты государственной собственности субъектов Российской Федерации (Хирургический корпус на 120 коек с поликлиникой на 200 п/смену ОГАУЗ "Томский областной онкологический диспансер" )</t>
  </si>
  <si>
    <t>076N351110</t>
  </si>
  <si>
    <t>Бюджетные ассигнования на объекты капитального строительства государственной собственности в сфере здравоохранения</t>
  </si>
  <si>
    <t>076N30И000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</si>
  <si>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</si>
  <si>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</si>
  <si>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</si>
  <si>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</si>
  <si>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Обновление материально-технической базы для формирования у обучающихся современных технологических и гуманитарных навыков</t>
  </si>
  <si>
    <t>Департамент общего образования Томской области</t>
  </si>
  <si>
    <t>091E151690</t>
  </si>
  <si>
    <t>Создание новых мест в общеобразовательных организациях, расположенных в сельской местности и поселках городского типа (Здание ОГБОУ «Шегарская школа-интернат» на 60 мест в п. Победа Шегарского района)</t>
  </si>
  <si>
    <t>241E152300</t>
  </si>
  <si>
    <t>Создание новых мест в общеобразовательных организациях, расположенных в сельской местности и поселках городского типа (операционные расходы)</t>
  </si>
  <si>
    <t>Создание новых мест в общеобразовательных организациях (Приобретение здания с оборудованием для размещения общеобразовательной организации на 1100 мест по ул. П.Федоровского в г. Томске)</t>
  </si>
  <si>
    <t>241E155200</t>
  </si>
  <si>
    <t>Оснащение зданий средствами обучения и воспитания для размещения общеобразовательных организаций</t>
  </si>
  <si>
    <t>241E155201</t>
  </si>
  <si>
    <t>3.2</t>
  </si>
  <si>
    <t>Региональный проект "Цифровая образовательная среда", всего</t>
  </si>
  <si>
    <t>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</si>
  <si>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091E452100</t>
  </si>
  <si>
    <t>Департамент профессионального образования Томской области</t>
  </si>
  <si>
    <t>093E452100</t>
  </si>
  <si>
    <t>Внедрение и функционирование целевой модели цифровой образовательной среды в общеобразовательных организациях</t>
  </si>
  <si>
    <t>091E452101</t>
  </si>
  <si>
    <t>Функционирование целевой модели цифровой образовательной среды в профессиональных образовательных организациях</t>
  </si>
  <si>
    <t>093E452101</t>
  </si>
  <si>
    <t>3.3</t>
  </si>
  <si>
    <t>Региональный проект "Успех каждого ребенка", всего</t>
  </si>
  <si>
    <t>Создание в общеобразовательных организациях, расположенных в сельской местности, условий для занятий физической культурой и спортом</t>
  </si>
  <si>
    <t>092E250970</t>
  </si>
  <si>
    <t>Создание центров выявления и поддержки одаренных детей</t>
  </si>
  <si>
    <t>091E251890</t>
  </si>
  <si>
    <t>Формирование современных управленческих и организационно-экономических механизмов в системе дополнительного образования детей в субъектах Российской Федерации</t>
  </si>
  <si>
    <t>091E255370</t>
  </si>
  <si>
    <t>Внедрение целевой модели развития региональных систем дополнительного образования детей</t>
  </si>
  <si>
    <t>091E255371</t>
  </si>
  <si>
    <t xml:space="preserve">Реализация пилотных проектов по обновлению содержания и технологий дополнительного образования по приоритетным направлениям </t>
  </si>
  <si>
    <t>091E262352</t>
  </si>
  <si>
    <t>3.4</t>
  </si>
  <si>
    <t>Региональный проект "Молодые профессионалы (Повышение конкурентоспособности профессионального образования)", всего</t>
  </si>
  <si>
    <t>Реализация региональных мероприятий, направленных на модернизацию среднего профессионального образования</t>
  </si>
  <si>
    <t>093E600020</t>
  </si>
  <si>
    <t>Разработка и распространение в системе среднего профессионального образования новых образовательных технологий и формы опережающей профессиональной подготовки</t>
  </si>
  <si>
    <t>093E651770</t>
  </si>
  <si>
    <t>Государственная поддержка профессиональных образовательных организаций в целях обеспечения соответствия их материально-технической базы современным требованиям</t>
  </si>
  <si>
    <t>093E600080</t>
  </si>
  <si>
    <t>Функционирование центра опережающей профессиональной подготовки</t>
  </si>
  <si>
    <t>093E651771</t>
  </si>
  <si>
    <t>093E661624</t>
  </si>
  <si>
    <t>Обеспечение проведения аттестации обучающихся по программам среднего профессионального образования с использованием механизма демонстрационного экзамена</t>
  </si>
  <si>
    <t>093E661634</t>
  </si>
  <si>
    <t>Внедрение программ профессионального обучения по наиболее востребованным и перспективным профессиям на уровне, соответствующем стандартам Ворлдскиллс, с учетом продолжительности программ не более 6 месяцев</t>
  </si>
  <si>
    <t>093E661635</t>
  </si>
  <si>
    <t>Повышение квалификации преподавателей (мастеров производственного обучения) по программам, основанным на опыте Союза Ворлдскиллс Россия</t>
  </si>
  <si>
    <t>093E661636</t>
  </si>
  <si>
    <t>Вовлечение в различные формы наставничества обучающихся организаций, осуществляющих образовательную деятельность по образовательным программам среднего профессионального образования</t>
  </si>
  <si>
    <t>093E661637</t>
  </si>
  <si>
    <t>3.5</t>
  </si>
  <si>
    <t>Региональный проект "Учитель будущего", всего</t>
  </si>
  <si>
    <t>Обеспечение непрерывного и планомерного повышения квалификации педагогических работников</t>
  </si>
  <si>
    <t>091E516200</t>
  </si>
  <si>
    <t>4</t>
  </si>
  <si>
    <t>Национальный проект "Цифровая экономика"</t>
  </si>
  <si>
    <t>4.1</t>
  </si>
  <si>
    <t>Региональный проект "Кадры для цифровой экономики", всего</t>
  </si>
  <si>
    <t>Подготовка кадров для цифровой экономики</t>
  </si>
  <si>
    <t>091D309100</t>
  </si>
  <si>
    <t>4.2</t>
  </si>
  <si>
    <t>Региональный проект "Цифровые технологии"</t>
  </si>
  <si>
    <t>Финансовое обеспечение затрат, возникающих при реализации проекта "Цифровые технологии"</t>
  </si>
  <si>
    <t>Департамент по развитию инновационной и предпринимательской деятельности Томской области</t>
  </si>
  <si>
    <t>024D500400</t>
  </si>
  <si>
    <t>4.3</t>
  </si>
  <si>
    <t>Региональный проект "Информационная безопасность"</t>
  </si>
  <si>
    <t>Обеспечение использования отечественных разработок в технологии при передаче, обработке и хранении данных</t>
  </si>
  <si>
    <t>Администрация Томской области</t>
  </si>
  <si>
    <t>201D461632</t>
  </si>
  <si>
    <t>4.4</t>
  </si>
  <si>
    <t>Региональный проект "Цифровое государственное управление"</t>
  </si>
  <si>
    <t>Разработка методологии статистических наблюдений и организации измерения параметров развития цифровой экономики</t>
  </si>
  <si>
    <t>201D622100</t>
  </si>
  <si>
    <t>Внедрение цифровых технологий и платформенных решений в сферах государственного управления и оказания государственных и муниципальных услуг</t>
  </si>
  <si>
    <t>201D620400</t>
  </si>
  <si>
    <t>Обеспечение функционирования и развития инфраструктуры электронного правительства, а также информационных систем, направленных на предоставление государственных функций в электронном виде</t>
  </si>
  <si>
    <t>201D623600</t>
  </si>
  <si>
    <t>Обеспечение возможности доступа пользователей в модели "одного окна" посредством единого портала государственных и муниципальных услуг (функций) к информации, созданной органами государственной власти, органами местного самоуправления и органами государственных внебюджетных фондов, а также к иной общедоступной информации</t>
  </si>
  <si>
    <t>201D623500</t>
  </si>
  <si>
    <t>Обеспечение информирования и популяризации цифровых государственных услуг, функций и сервисов</t>
  </si>
  <si>
    <t>201D622300</t>
  </si>
  <si>
    <t xml:space="preserve">Внедрение в деятельность органов государственной власти и органов местного самоуправления, а также подведомственных им организаций межведомственного юридически значимого электронного документооборота с применением электронной подписи, базирующегося на единых  инфраструктурах, технологических и методологических решениях </t>
  </si>
  <si>
    <t>201D622700</t>
  </si>
  <si>
    <t>4.5</t>
  </si>
  <si>
    <t>Региональный проект "Информационная инфраструктура"</t>
  </si>
  <si>
    <t>Развертывание сетей сбора телеметрической информации на приоритетных объектах транспортной инфраструктуры</t>
  </si>
  <si>
    <t>182D206800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</si>
  <si>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</si>
  <si>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</si>
  <si>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</si>
  <si>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</si>
  <si>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</si>
  <si>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>251F255550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</si>
  <si>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</si>
  <si>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251F254240</t>
  </si>
  <si>
    <t xml:space="preserve">5.2  </t>
  </si>
  <si>
    <t>Региональный проект "Обеспечение устойчивого  сокращения непригодного для проживания жилищного фонда"</t>
  </si>
  <si>
    <t>Приобретение жилых помещений за счёт средств государственной корпорации - Фонда содействия реформированию жилищно-коммунального хозяйства</t>
  </si>
  <si>
    <t>132F319502</t>
  </si>
  <si>
    <t>Приобретение жилых помещений за счет средств областного бюджета</t>
  </si>
  <si>
    <t>132F319602</t>
  </si>
  <si>
    <t>Выкуп жилых помещений у собственников за счет средств государственной корпорации - Фонда содействия реформированию жилищно-коммунального хозяйства</t>
  </si>
  <si>
    <t>132F329502</t>
  </si>
  <si>
    <t>Выкуп жилых помещений у собственников за счет средств областного бюджета</t>
  </si>
  <si>
    <t>132F329602</t>
  </si>
  <si>
    <t>6</t>
  </si>
  <si>
    <t>Национальный проект "Экология"</t>
  </si>
  <si>
    <t>6.1</t>
  </si>
  <si>
    <t>Региональный проект "Сохранение лесов", всего</t>
  </si>
  <si>
    <t>Увеличение площади лесовосстановления</t>
  </si>
  <si>
    <t>Департамент лесного хозяйства Томской области</t>
  </si>
  <si>
    <t>153GA54290</t>
  </si>
  <si>
    <t>Оснащение учреждений, выполняющих мероприятия по воспроизводству лесов, специализированной лесохозяйственной техникой и оборудованием для проведения комплекса мероприятий по лесовосстановлению и лесоразведению</t>
  </si>
  <si>
    <t>153GA54300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</si>
  <si>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</si>
  <si>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153GA54320</t>
  </si>
  <si>
    <t>6.2</t>
  </si>
  <si>
    <t>Региональный проект "Чистая вода", всего</t>
  </si>
  <si>
    <t>Строительство и реконструкция (модернизация) объектов питьевого водоснабжения</t>
  </si>
  <si>
    <t>Департамент ЖКХ и государственного жилищного надзора Томской области</t>
  </si>
  <si>
    <t>191G552430</t>
  </si>
  <si>
    <t>6.3</t>
  </si>
  <si>
    <t xml:space="preserve"> Региональный проект «Комплексная система обращения с твердыми коммунальными отходами», всего</t>
  </si>
  <si>
    <t>Введение в промышленную эксплуатацию мощностей по обработке твердых коммунальных отходов и мощностей по утилизации отходов и фракций после обработки твердых коммунальных отходов</t>
  </si>
  <si>
    <t>Департамент природных ресурсов и охраны окружающей среды Томской области</t>
  </si>
  <si>
    <t>151G252970</t>
  </si>
  <si>
    <t>6.4</t>
  </si>
  <si>
    <t>Региональный проект «Сохранение уникальных водных объектов»</t>
  </si>
  <si>
    <t>Восстановление и экологическая реабилитация водных объектов</t>
  </si>
  <si>
    <t>152G850570</t>
  </si>
  <si>
    <t>7</t>
  </si>
  <si>
    <t>Национальный проект "Безопасные и качественные автомобильные дороги"</t>
  </si>
  <si>
    <t>7.1</t>
  </si>
  <si>
    <t>Региональный проект "Дорожная сеть", всего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</si>
  <si>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</si>
  <si>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Департамент транспорта, дорожной деятельности и связи Томской области</t>
  </si>
  <si>
    <t>182R153930</t>
  </si>
  <si>
    <t>8</t>
  </si>
  <si>
    <t>Национальный проект "Культура"</t>
  </si>
  <si>
    <t>8.1</t>
  </si>
  <si>
    <t>Региональный проект "Культурная среда", всего</t>
  </si>
  <si>
    <t>Государственная поддержка отрасли культуры  (Капитальный ремонт Дома культуры в п.Самуськи)</t>
  </si>
  <si>
    <t>Департамент по культуре Томской области</t>
  </si>
  <si>
    <t>101A155190</t>
  </si>
  <si>
    <t>101A154540</t>
  </si>
  <si>
    <t>8.2</t>
  </si>
  <si>
    <t>Региональный проект "Цифровая культура"</t>
  </si>
  <si>
    <t>Создание виртуальных концертных залов</t>
  </si>
  <si>
    <t>101A354530</t>
  </si>
  <si>
    <t>8.3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</si>
  <si>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</si>
  <si>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</si>
  <si>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101A204300</t>
  </si>
  <si>
    <t>Реализация программ, направленных на укрепление единства нации, духовно-нравственное и патриотическое воспитание</t>
  </si>
  <si>
    <t>101A2Д0851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</si>
  <si>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</si>
  <si>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</si>
  <si>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</si>
  <si>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Региональный проект "Расширение доступа субъектов малого и среднего предпринимательства к финансовым ресурсам, в том числе к льготному финансированию", всего</t>
  </si>
  <si>
    <t>Государственная поддержка малого и среднего предпринимательства в субъектах Российской Федерации</t>
  </si>
  <si>
    <t>031I455270</t>
  </si>
  <si>
    <t>Развитие и обеспечение деятельности Гарантийного фонда Томской области</t>
  </si>
  <si>
    <t>031I455271</t>
  </si>
  <si>
    <t>9.2</t>
  </si>
  <si>
    <t>Региональный проект "Акселерация субъектов малого и среднего предпринимательства", всего</t>
  </si>
  <si>
    <t>031I555270</t>
  </si>
  <si>
    <t>Субсидии бюджетам монопрофильных муниципальных образований для оказания финансовой поддержки субъектам малого и среднего предпринимательства, занимающихся социально значимыми видами деятельности</t>
  </si>
  <si>
    <t>031I555272</t>
  </si>
  <si>
    <t>Организация оказания комплекса услуг, сервисов и мер поддержки субъектам малого и среднего предпринимательства в центре "Мой бизнес" - Центре кластерного развития Томской области</t>
  </si>
  <si>
    <t>031I555273</t>
  </si>
  <si>
    <t>Развитие региональной гарантийной организации в целях ускоренного развития субъектов малого и среднего предпринимательства в моногородах</t>
  </si>
  <si>
    <t>031I555274</t>
  </si>
  <si>
    <t>9.3</t>
  </si>
  <si>
    <t>Региональный проект "Популяризация предпринимательства", всего</t>
  </si>
  <si>
    <t>031I855270</t>
  </si>
  <si>
    <t>9.4</t>
  </si>
  <si>
    <t>Региональный проект "Создание системы поддержки фермеров и развитие сельской кооперации"</t>
  </si>
  <si>
    <t>Создание системы поддержки фермеров и развитие сельской кооперации</t>
  </si>
  <si>
    <t>Департамент по социально-экономическому развитию села Томской области</t>
  </si>
  <si>
    <t>061I754800</t>
  </si>
  <si>
    <t>Гранты "Агростартап" на реализацию проектов создания и развития крестьянских (фермерских) хозяйств</t>
  </si>
  <si>
    <t>061I754801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</si>
  <si>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</si>
  <si>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061I754802</t>
  </si>
  <si>
    <t>062I754802</t>
  </si>
  <si>
    <t>10</t>
  </si>
  <si>
    <t>Национальный проект "Производительность труда и поддержка занятости"</t>
  </si>
  <si>
    <t>10.1</t>
  </si>
  <si>
    <t>Региональный проект "Адресная поддержка повышения производительности труда на предприятиях", всего</t>
  </si>
  <si>
    <t>Государственная поддержка субъектов Российской Федерации - участников национального проекта "Повышение производительности труда и поддержка занятости"</t>
  </si>
  <si>
    <t>035L252960</t>
  </si>
  <si>
    <t>Реализация мероприятий по созданию, техническому оснащению и организационно-методическому сопровождению учебной производственной площадки "Фабрика процессов"</t>
  </si>
  <si>
    <t>035L200350</t>
  </si>
  <si>
    <t>035L252961</t>
  </si>
  <si>
    <t>10.2</t>
  </si>
  <si>
    <t>Региональный проект "Поддержка занятости и повышение эффективности рынка труда для обеспечения роста производительности труда"</t>
  </si>
  <si>
    <t>Переобучение, повышение квалификации работников предприятий в целях поддержки занятости и повышения эффективности рынка труда</t>
  </si>
  <si>
    <t>051L355690</t>
  </si>
  <si>
    <t>Возмещение затрат организациям – участникам регионального проекта "Поддержка занятости и повышение эффективности рынка труда для обеспечения роста производительности труда" на переобучение, повышение квалификации работников</t>
  </si>
  <si>
    <t>051L355691</t>
  </si>
  <si>
    <t>* по данным сводной бюджетной росписи областного бюджета на 2019, 2020, 2021 годы по состоянию на отчетную дату; лимиты бюджетных обязательств соответствуют плановым назначениям</t>
  </si>
  <si>
    <t>** по данным финансовых органов муниципальных образований (средства на софинансирование региональных проектов за счет местных бюджетов)</t>
  </si>
  <si>
    <t>083P540370</t>
  </si>
  <si>
    <t>Капитальный ремонт муниципальных спортивных сооружений</t>
  </si>
  <si>
    <t>083P54И380</t>
  </si>
  <si>
    <t>Строительство универсальных спортивных площадок в муниципальных образованиях Томской области</t>
  </si>
  <si>
    <t>091D362357</t>
  </si>
  <si>
    <t>Проведение тематических смен в сезонных лагерях для школьников по передовым направлениям дискретной математики, информатики, цифровых технологий</t>
  </si>
  <si>
    <t>091D364157</t>
  </si>
  <si>
    <t>Государственная поддержка создания и функционирования организаций дополнительного образования детей и (или) детских объединений на базе школ для углубленного изучения математики и информатики</t>
  </si>
  <si>
    <t>Организация деятельности мобильных бригад по доставке лиц старше 65 лет, проживающих в сельской местности, в медицинские организации</t>
  </si>
  <si>
    <t>112P352931</t>
  </si>
  <si>
    <t>026</t>
  </si>
  <si>
    <t>Переселение граждан из аварийного жилищного фонда за счет средств, поступивших от Фонда содействия реформированию жилищно-коммунального хозяйства</t>
  </si>
  <si>
    <t>132F367483</t>
  </si>
  <si>
    <t>Переселение граждан из аварийного жилищного фонда за счет средств областного бюджета</t>
  </si>
  <si>
    <t>132F367484</t>
  </si>
  <si>
    <t>201D600005</t>
  </si>
  <si>
    <t>Обеспечение регистрации пользователей в единой биометрической системе в МФЦ</t>
  </si>
  <si>
    <t>Создание новых мест в общеобразовательных организациях</t>
  </si>
  <si>
    <t>241E1Д5200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</si>
  <si>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</si>
  <si>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% исполнения</t>
  </si>
  <si>
    <t>**.*.P*.*****,**.*.N*.*****,**.*.E*.*****,**.*.F*.*****,**.*.G*.*****,**.*.R*.*****,**.*.L*.*****,**.*.D*.*****,**.*.A*.*****,**.*.I*.*****</t>
  </si>
  <si>
    <t>Кассовое исполнение</t>
  </si>
  <si>
    <t>Плановые ассигнования</t>
  </si>
  <si>
    <t>Информация о плановых ассигнованиях и кассовом исполнении расходов консолидированного бюджета Томской области
на реализацию региональных проектов Томской области по состоянию на 01.11.2019</t>
  </si>
  <si>
    <t>КЦСР</t>
  </si>
  <si>
    <t>Наименование КЦСР</t>
  </si>
  <si>
    <t>Ассигнования 2019 год</t>
  </si>
  <si>
    <t>Всего выбытий (бух.уч.)</t>
  </si>
  <si>
    <t>Софинансирование капитальных вложений в объекты государственной собственности субъектов Российской Федерации</t>
  </si>
  <si>
    <t>Приобретение спортивного инвентаря, оборудования и спортивной экипировки для спортивных школ</t>
  </si>
  <si>
    <t>Реализация пилотных проектов по обновлению содержания и технологий дополнительного образования по приоритетным направлениям</t>
  </si>
  <si>
    <t>Государственная поддержка отрасли культуры</t>
  </si>
  <si>
    <t>Создание виртуальных концертных залов по результатам конкурсного отбора, проводимого Министерством культуры Российской Федерации</t>
  </si>
  <si>
    <t>153GА54290</t>
  </si>
  <si>
    <t>153GА54300</t>
  </si>
  <si>
    <t>153GА54320</t>
  </si>
  <si>
    <t>Обеспечение использования отечественных разработок и технологий при передаче, обработке и хранении данных</t>
  </si>
  <si>
    <t>Внедрение в деятельность органов государственной власти и органов местного самоуправления, а также подведомственных им организаций межведомственного юридически значимого электронного документооборота с применением электронной подписи, базирующегося на единых инфраструктурных, технологических и методологических решениях</t>
  </si>
  <si>
    <t>Обеспечение функционирования и развития инфраструктуры электронного правительства, а также информационных систем, направленных на предоставление государственных услуг и исполнение государственных функций в электронном виде</t>
  </si>
  <si>
    <t>Создание новых мест в общеобразовательных организациях, расположенных в сельской местности и поселках городского типа</t>
  </si>
  <si>
    <t>Итого</t>
  </si>
  <si>
    <t>Департамент финансов Томской области</t>
  </si>
  <si>
    <t>(наименование органа, организующего исполнение бюджета)</t>
  </si>
  <si>
    <t xml:space="preserve"> на 01.11.2019 г.</t>
  </si>
  <si>
    <t>Дата печати 06.11.2019 (17:09:59)</t>
  </si>
  <si>
    <t>Бюджет: Областной бюджет</t>
  </si>
  <si>
    <t>Тип бланка расходов: Смета, Фонды, ПНО</t>
  </si>
  <si>
    <t>КЦСР: ***P******,***N******,***E******,***F******,***G******,***R******,***L******,***D******,***A******,***I******,**********,**********</t>
  </si>
  <si>
    <t>руб.</t>
  </si>
  <si>
    <t>КФСР</t>
  </si>
  <si>
    <t>Наименование КФСР</t>
  </si>
  <si>
    <t>КВР</t>
  </si>
  <si>
    <t>Выбытия (бух.уч.)</t>
  </si>
  <si>
    <t>0113</t>
  </si>
  <si>
    <t>Другие общегосударственные вопросы</t>
  </si>
  <si>
    <t>813</t>
  </si>
  <si>
    <t>244</t>
  </si>
  <si>
    <t>0401</t>
  </si>
  <si>
    <t>Общеэкономические вопросы</t>
  </si>
  <si>
    <t>321</t>
  </si>
  <si>
    <t>340</t>
  </si>
  <si>
    <t>811</t>
  </si>
  <si>
    <t>0405</t>
  </si>
  <si>
    <t>Сельское хозяйство и рыболовство</t>
  </si>
  <si>
    <t>611</t>
  </si>
  <si>
    <t>0406</t>
  </si>
  <si>
    <t>Водное хозяйство</t>
  </si>
  <si>
    <t>0407</t>
  </si>
  <si>
    <t>Лесное хозяйство</t>
  </si>
  <si>
    <t>621</t>
  </si>
  <si>
    <t>622</t>
  </si>
  <si>
    <t>612</t>
  </si>
  <si>
    <t>0409</t>
  </si>
  <si>
    <t>Дорожное хозяйство (дорожные фонды)</t>
  </si>
  <si>
    <t>521</t>
  </si>
  <si>
    <t>540</t>
  </si>
  <si>
    <t>0410</t>
  </si>
  <si>
    <t>Связь и информатика</t>
  </si>
  <si>
    <t>111</t>
  </si>
  <si>
    <t>119</t>
  </si>
  <si>
    <t>0412</t>
  </si>
  <si>
    <t>Другие вопросы в области национальной экономики</t>
  </si>
  <si>
    <t>633</t>
  </si>
  <si>
    <t>0501</t>
  </si>
  <si>
    <t>Жилищное хозяйство</t>
  </si>
  <si>
    <t>523</t>
  </si>
  <si>
    <t>0502</t>
  </si>
  <si>
    <t>Коммунальное хозяйство</t>
  </si>
  <si>
    <t>414</t>
  </si>
  <si>
    <t>522</t>
  </si>
  <si>
    <t>0503</t>
  </si>
  <si>
    <t>Благоустройство</t>
  </si>
  <si>
    <t>0505</t>
  </si>
  <si>
    <t>Другие вопросы в области жилищно-коммунального хозяйства</t>
  </si>
  <si>
    <t>0701</t>
  </si>
  <si>
    <t>Дошкольное образование</t>
  </si>
  <si>
    <t>0702</t>
  </si>
  <si>
    <t>Общее образование</t>
  </si>
  <si>
    <t>0703</t>
  </si>
  <si>
    <t>Дополнительное образование детей</t>
  </si>
  <si>
    <t>623</t>
  </si>
  <si>
    <t>0704</t>
  </si>
  <si>
    <t>Среднее профессиональное образование</t>
  </si>
  <si>
    <t>0705</t>
  </si>
  <si>
    <t>Профессиональная подготовка, переподготовка и повышение квалификации</t>
  </si>
  <si>
    <t>0709</t>
  </si>
  <si>
    <t>Другие вопросы в области образования</t>
  </si>
  <si>
    <t>0801</t>
  </si>
  <si>
    <t>Культура</t>
  </si>
  <si>
    <t>0901</t>
  </si>
  <si>
    <t>Стационарная медицинская помощь</t>
  </si>
  <si>
    <t>0902</t>
  </si>
  <si>
    <t>Амбулаторная помощь</t>
  </si>
  <si>
    <t>0904</t>
  </si>
  <si>
    <t>Скорая медицинская помощь</t>
  </si>
  <si>
    <t>0907</t>
  </si>
  <si>
    <t>Санитарно-эпидемиологическое благополучие</t>
  </si>
  <si>
    <t>0909</t>
  </si>
  <si>
    <t>Другие вопросы в области здравоохранения</t>
  </si>
  <si>
    <t>1002</t>
  </si>
  <si>
    <t>Социальное обслуживание населения</t>
  </si>
  <si>
    <t>1003</t>
  </si>
  <si>
    <t>Социальное обеспечение населения</t>
  </si>
  <si>
    <t>313</t>
  </si>
  <si>
    <t>1004</t>
  </si>
  <si>
    <t>Охрана семьи и детства</t>
  </si>
  <si>
    <t>1101</t>
  </si>
  <si>
    <t>Физическая культура</t>
  </si>
  <si>
    <t>1102</t>
  </si>
  <si>
    <t>Массовый спорт</t>
  </si>
  <si>
    <t>1103</t>
  </si>
  <si>
    <t>Спорт высших достижений</t>
  </si>
</sst>
</file>

<file path=xl/styles.xml><?xml version="1.0" encoding="utf-8"?>
<styleSheet xmlns="http://schemas.openxmlformats.org/spreadsheetml/2006/main">
  <numFmts count="6">
    <numFmt numFmtId="164" formatCode="#,##0.0"/>
    <numFmt numFmtId="165" formatCode="0.0%"/>
    <numFmt numFmtId="166" formatCode="0.000"/>
    <numFmt numFmtId="167" formatCode="?"/>
    <numFmt numFmtId="168" formatCode="0.0"/>
    <numFmt numFmtId="169" formatCode="dd/mm/yyyy\ hh:mm"/>
  </numFmts>
  <fonts count="26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i/>
      <sz val="13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i/>
      <sz val="11"/>
      <color rgb="FF000000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b/>
      <sz val="8.5"/>
      <name val="MS Sans Serif"/>
      <family val="2"/>
      <charset val="204"/>
    </font>
    <font>
      <sz val="8"/>
      <name val="Arial Cyr"/>
    </font>
    <font>
      <b/>
      <sz val="8"/>
      <name val="Arial Cyr"/>
    </font>
    <font>
      <sz val="8"/>
      <color rgb="FFFF0000"/>
      <name val="Arial Cyr"/>
    </font>
    <font>
      <sz val="8.5"/>
      <name val="MS Sans Serif"/>
      <family val="2"/>
      <charset val="204"/>
    </font>
    <font>
      <b/>
      <sz val="1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i/>
      <sz val="14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49" fontId="3" fillId="2" borderId="5" xfId="0" applyNumberFormat="1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0" fillId="0" borderId="0" xfId="0" applyFill="1"/>
    <xf numFmtId="0" fontId="1" fillId="0" borderId="0" xfId="0" applyFont="1" applyFill="1" applyAlignment="1">
      <alignment horizontal="center"/>
    </xf>
    <xf numFmtId="11" fontId="0" fillId="0" borderId="0" xfId="0" applyNumberFormat="1" applyFill="1"/>
    <xf numFmtId="4" fontId="0" fillId="0" borderId="0" xfId="0" applyNumberFormat="1" applyFill="1"/>
    <xf numFmtId="0" fontId="2" fillId="0" borderId="0" xfId="0" applyFont="1" applyFill="1" applyAlignment="1">
      <alignment horizontal="right"/>
    </xf>
    <xf numFmtId="0" fontId="3" fillId="0" borderId="5" xfId="0" applyFont="1" applyFill="1" applyBorder="1" applyAlignment="1">
      <alignment horizontal="center" vertical="top" wrapText="1"/>
    </xf>
    <xf numFmtId="49" fontId="3" fillId="0" borderId="5" xfId="0" applyNumberFormat="1" applyFont="1" applyFill="1" applyBorder="1" applyAlignment="1">
      <alignment horizontal="center" vertical="top"/>
    </xf>
    <xf numFmtId="0" fontId="3" fillId="0" borderId="7" xfId="0" applyFont="1" applyFill="1" applyBorder="1" applyAlignment="1">
      <alignment horizontal="center" vertical="top" wrapText="1"/>
    </xf>
    <xf numFmtId="49" fontId="5" fillId="0" borderId="5" xfId="0" applyNumberFormat="1" applyFont="1" applyFill="1" applyBorder="1" applyAlignment="1">
      <alignment horizontal="center" vertical="top"/>
    </xf>
    <xf numFmtId="0" fontId="3" fillId="0" borderId="5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 wrapText="1"/>
    </xf>
    <xf numFmtId="0" fontId="8" fillId="0" borderId="5" xfId="0" applyFont="1" applyFill="1" applyBorder="1" applyAlignment="1">
      <alignment horizontal="center" vertical="top"/>
    </xf>
    <xf numFmtId="0" fontId="8" fillId="0" borderId="5" xfId="0" applyFont="1" applyFill="1" applyBorder="1" applyAlignment="1">
      <alignment horizontal="center" vertical="top" wrapText="1"/>
    </xf>
    <xf numFmtId="0" fontId="9" fillId="0" borderId="0" xfId="0" applyFont="1" applyFill="1"/>
    <xf numFmtId="11" fontId="5" fillId="0" borderId="5" xfId="0" applyNumberFormat="1" applyFont="1" applyFill="1" applyBorder="1" applyAlignment="1">
      <alignment horizontal="center" vertical="top"/>
    </xf>
    <xf numFmtId="0" fontId="7" fillId="0" borderId="0" xfId="0" applyFont="1" applyFill="1"/>
    <xf numFmtId="0" fontId="0" fillId="0" borderId="0" xfId="0" applyFill="1" applyAlignment="1">
      <alignment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vertical="center"/>
    </xf>
    <xf numFmtId="0" fontId="3" fillId="2" borderId="5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 wrapText="1"/>
    </xf>
    <xf numFmtId="164" fontId="3" fillId="2" borderId="5" xfId="0" applyNumberFormat="1" applyFont="1" applyFill="1" applyBorder="1" applyAlignment="1">
      <alignment horizontal="center" vertical="top"/>
    </xf>
    <xf numFmtId="164" fontId="3" fillId="0" borderId="5" xfId="0" applyNumberFormat="1" applyFont="1" applyFill="1" applyBorder="1" applyAlignment="1">
      <alignment horizontal="center" vertical="top"/>
    </xf>
    <xf numFmtId="49" fontId="3" fillId="3" borderId="5" xfId="0" applyNumberFormat="1" applyFont="1" applyFill="1" applyBorder="1" applyAlignment="1">
      <alignment horizontal="center" vertical="top"/>
    </xf>
    <xf numFmtId="0" fontId="3" fillId="3" borderId="5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center" vertical="top"/>
    </xf>
    <xf numFmtId="164" fontId="3" fillId="3" borderId="5" xfId="0" applyNumberFormat="1" applyFont="1" applyFill="1" applyBorder="1" applyAlignment="1">
      <alignment horizontal="center" vertical="top"/>
    </xf>
    <xf numFmtId="165" fontId="3" fillId="2" borderId="5" xfId="0" applyNumberFormat="1" applyFont="1" applyFill="1" applyBorder="1" applyAlignment="1">
      <alignment horizontal="center" vertical="top"/>
    </xf>
    <xf numFmtId="165" fontId="3" fillId="0" borderId="5" xfId="0" applyNumberFormat="1" applyFont="1" applyFill="1" applyBorder="1" applyAlignment="1">
      <alignment horizontal="center" vertical="top"/>
    </xf>
    <xf numFmtId="165" fontId="3" fillId="3" borderId="5" xfId="0" applyNumberFormat="1" applyFont="1" applyFill="1" applyBorder="1" applyAlignment="1">
      <alignment horizontal="center" vertical="top"/>
    </xf>
    <xf numFmtId="164" fontId="0" fillId="0" borderId="0" xfId="0" applyNumberFormat="1" applyFill="1"/>
    <xf numFmtId="0" fontId="10" fillId="0" borderId="8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/>
    </xf>
    <xf numFmtId="0" fontId="10" fillId="0" borderId="11" xfId="0" applyFont="1" applyBorder="1" applyAlignment="1">
      <alignment vertical="top" wrapText="1"/>
    </xf>
    <xf numFmtId="0" fontId="11" fillId="0" borderId="11" xfId="0" applyFont="1" applyBorder="1" applyAlignment="1">
      <alignment vertical="top"/>
    </xf>
    <xf numFmtId="0" fontId="11" fillId="0" borderId="11" xfId="0" applyFont="1" applyBorder="1" applyAlignment="1">
      <alignment vertical="top" wrapText="1"/>
    </xf>
    <xf numFmtId="165" fontId="12" fillId="0" borderId="11" xfId="0" applyNumberFormat="1" applyFont="1" applyBorder="1" applyAlignment="1">
      <alignment horizontal="center" vertical="top" wrapText="1"/>
    </xf>
    <xf numFmtId="165" fontId="13" fillId="0" borderId="11" xfId="0" applyNumberFormat="1" applyFont="1" applyBorder="1" applyAlignment="1">
      <alignment horizontal="center" vertical="top" wrapText="1"/>
    </xf>
    <xf numFmtId="0" fontId="3" fillId="0" borderId="5" xfId="0" applyFont="1" applyFill="1" applyBorder="1" applyAlignment="1">
      <alignment horizontal="left" vertical="top" wrapText="1"/>
    </xf>
    <xf numFmtId="4" fontId="3" fillId="0" borderId="5" xfId="0" applyNumberFormat="1" applyFont="1" applyFill="1" applyBorder="1" applyAlignment="1">
      <alignment horizontal="center" vertical="top"/>
    </xf>
    <xf numFmtId="166" fontId="12" fillId="0" borderId="11" xfId="0" applyNumberFormat="1" applyFont="1" applyBorder="1" applyAlignment="1">
      <alignment horizontal="center" vertical="top" wrapText="1"/>
    </xf>
    <xf numFmtId="166" fontId="11" fillId="0" borderId="11" xfId="0" applyNumberFormat="1" applyFont="1" applyBorder="1" applyAlignment="1">
      <alignment horizontal="center" vertical="top"/>
    </xf>
    <xf numFmtId="166" fontId="0" fillId="0" borderId="0" xfId="0" applyNumberFormat="1"/>
    <xf numFmtId="49" fontId="14" fillId="0" borderId="5" xfId="0" applyNumberFormat="1" applyFont="1" applyBorder="1" applyAlignment="1" applyProtection="1">
      <alignment horizontal="center" vertical="center" wrapText="1"/>
    </xf>
    <xf numFmtId="49" fontId="15" fillId="0" borderId="12" xfId="0" applyNumberFormat="1" applyFont="1" applyBorder="1" applyAlignment="1" applyProtection="1">
      <alignment horizontal="center" vertical="center" wrapText="1"/>
    </xf>
    <xf numFmtId="49" fontId="15" fillId="0" borderId="12" xfId="0" applyNumberFormat="1" applyFont="1" applyBorder="1" applyAlignment="1" applyProtection="1">
      <alignment horizontal="left" vertical="center" wrapText="1"/>
    </xf>
    <xf numFmtId="4" fontId="15" fillId="0" borderId="12" xfId="0" applyNumberFormat="1" applyFont="1" applyBorder="1" applyAlignment="1" applyProtection="1">
      <alignment horizontal="right" vertical="center" wrapText="1"/>
    </xf>
    <xf numFmtId="167" fontId="15" fillId="0" borderId="12" xfId="0" applyNumberFormat="1" applyFont="1" applyBorder="1" applyAlignment="1" applyProtection="1">
      <alignment horizontal="left" vertical="center" wrapText="1"/>
    </xf>
    <xf numFmtId="49" fontId="16" fillId="0" borderId="13" xfId="0" applyNumberFormat="1" applyFont="1" applyBorder="1" applyAlignment="1" applyProtection="1">
      <alignment horizontal="center"/>
    </xf>
    <xf numFmtId="49" fontId="16" fillId="0" borderId="14" xfId="0" applyNumberFormat="1" applyFont="1" applyBorder="1" applyAlignment="1" applyProtection="1">
      <alignment horizontal="left"/>
    </xf>
    <xf numFmtId="4" fontId="16" fillId="0" borderId="14" xfId="0" applyNumberFormat="1" applyFont="1" applyBorder="1" applyAlignment="1" applyProtection="1">
      <alignment horizontal="right"/>
    </xf>
    <xf numFmtId="4" fontId="17" fillId="0" borderId="12" xfId="0" applyNumberFormat="1" applyFont="1" applyBorder="1" applyAlignment="1" applyProtection="1">
      <alignment horizontal="right" vertical="center" wrapText="1"/>
    </xf>
    <xf numFmtId="168" fontId="0" fillId="0" borderId="0" xfId="0" applyNumberFormat="1"/>
    <xf numFmtId="0" fontId="3" fillId="0" borderId="7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18" fillId="0" borderId="0" xfId="0" applyFont="1" applyBorder="1" applyAlignment="1" applyProtection="1"/>
    <xf numFmtId="0" fontId="15" fillId="0" borderId="0" xfId="0" applyFont="1" applyBorder="1" applyAlignment="1" applyProtection="1"/>
    <xf numFmtId="0" fontId="19" fillId="0" borderId="0" xfId="0" applyFont="1" applyBorder="1" applyAlignment="1" applyProtection="1">
      <alignment horizontal="left"/>
    </xf>
    <xf numFmtId="0" fontId="19" fillId="0" borderId="0" xfId="0" applyFont="1" applyBorder="1" applyAlignment="1" applyProtection="1">
      <alignment horizontal="center"/>
    </xf>
    <xf numFmtId="169" fontId="19" fillId="0" borderId="0" xfId="0" applyNumberFormat="1" applyFont="1" applyBorder="1" applyAlignment="1" applyProtection="1">
      <alignment horizontal="center"/>
    </xf>
    <xf numFmtId="0" fontId="18" fillId="0" borderId="0" xfId="0" applyFont="1" applyBorder="1" applyAlignment="1" applyProtection="1">
      <alignment horizontal="left" vertical="top" wrapText="1"/>
    </xf>
    <xf numFmtId="0" fontId="18" fillId="0" borderId="0" xfId="0" applyFont="1" applyBorder="1" applyAlignment="1" applyProtection="1">
      <alignment wrapText="1"/>
    </xf>
    <xf numFmtId="49" fontId="16" fillId="0" borderId="14" xfId="0" applyNumberFormat="1" applyFont="1" applyBorder="1" applyAlignment="1" applyProtection="1">
      <alignment horizontal="center"/>
    </xf>
    <xf numFmtId="4" fontId="0" fillId="0" borderId="0" xfId="0" applyNumberFormat="1"/>
    <xf numFmtId="49" fontId="3" fillId="4" borderId="5" xfId="0" applyNumberFormat="1" applyFont="1" applyFill="1" applyBorder="1" applyAlignment="1">
      <alignment horizontal="center" vertical="top"/>
    </xf>
    <xf numFmtId="0" fontId="3" fillId="4" borderId="5" xfId="0" applyFont="1" applyFill="1" applyBorder="1" applyAlignment="1">
      <alignment horizontal="left" vertical="center"/>
    </xf>
    <xf numFmtId="0" fontId="3" fillId="4" borderId="5" xfId="0" applyFont="1" applyFill="1" applyBorder="1" applyAlignment="1">
      <alignment horizontal="center" vertical="top"/>
    </xf>
    <xf numFmtId="164" fontId="3" fillId="4" borderId="5" xfId="0" applyNumberFormat="1" applyFont="1" applyFill="1" applyBorder="1" applyAlignment="1">
      <alignment horizontal="center" vertical="top"/>
    </xf>
    <xf numFmtId="165" fontId="3" fillId="4" borderId="5" xfId="0" applyNumberFormat="1" applyFont="1" applyFill="1" applyBorder="1" applyAlignment="1">
      <alignment horizontal="center" vertical="top"/>
    </xf>
    <xf numFmtId="0" fontId="3" fillId="4" borderId="5" xfId="0" applyFont="1" applyFill="1" applyBorder="1" applyAlignment="1">
      <alignment horizontal="left" vertical="center" wrapText="1"/>
    </xf>
    <xf numFmtId="164" fontId="5" fillId="4" borderId="5" xfId="0" applyNumberFormat="1" applyFont="1" applyFill="1" applyBorder="1" applyAlignment="1">
      <alignment horizontal="center" vertical="top"/>
    </xf>
    <xf numFmtId="164" fontId="6" fillId="4" borderId="5" xfId="0" applyNumberFormat="1" applyFont="1" applyFill="1" applyBorder="1" applyAlignment="1">
      <alignment horizontal="center" vertical="top" wrapText="1"/>
    </xf>
    <xf numFmtId="165" fontId="6" fillId="4" borderId="5" xfId="0" applyNumberFormat="1" applyFont="1" applyFill="1" applyBorder="1" applyAlignment="1">
      <alignment horizontal="center" vertical="top" wrapText="1"/>
    </xf>
    <xf numFmtId="165" fontId="5" fillId="4" borderId="5" xfId="0" applyNumberFormat="1" applyFont="1" applyFill="1" applyBorder="1" applyAlignment="1">
      <alignment horizontal="center" vertical="top" wrapText="1"/>
    </xf>
    <xf numFmtId="164" fontId="3" fillId="5" borderId="5" xfId="0" applyNumberFormat="1" applyFont="1" applyFill="1" applyBorder="1" applyAlignment="1">
      <alignment horizontal="center" vertical="top"/>
    </xf>
    <xf numFmtId="0" fontId="3" fillId="0" borderId="5" xfId="0" applyFont="1" applyFill="1" applyBorder="1" applyAlignment="1">
      <alignment horizontal="center" vertical="top" wrapText="1"/>
    </xf>
    <xf numFmtId="164" fontId="20" fillId="0" borderId="5" xfId="0" applyNumberFormat="1" applyFont="1" applyFill="1" applyBorder="1" applyAlignment="1">
      <alignment horizontal="center" vertical="top" wrapText="1"/>
    </xf>
    <xf numFmtId="165" fontId="20" fillId="0" borderId="5" xfId="0" applyNumberFormat="1" applyFont="1" applyFill="1" applyBorder="1" applyAlignment="1">
      <alignment horizontal="center" vertical="top" wrapText="1"/>
    </xf>
    <xf numFmtId="164" fontId="1" fillId="2" borderId="5" xfId="0" applyNumberFormat="1" applyFont="1" applyFill="1" applyBorder="1" applyAlignment="1">
      <alignment horizontal="center" vertical="top"/>
    </xf>
    <xf numFmtId="165" fontId="1" fillId="2" borderId="5" xfId="0" applyNumberFormat="1" applyFont="1" applyFill="1" applyBorder="1" applyAlignment="1">
      <alignment horizontal="center" vertical="top"/>
    </xf>
    <xf numFmtId="164" fontId="1" fillId="0" borderId="5" xfId="0" applyNumberFormat="1" applyFont="1" applyFill="1" applyBorder="1" applyAlignment="1">
      <alignment horizontal="center" vertical="top"/>
    </xf>
    <xf numFmtId="165" fontId="1" fillId="0" borderId="5" xfId="0" applyNumberFormat="1" applyFont="1" applyFill="1" applyBorder="1" applyAlignment="1">
      <alignment horizontal="center" vertical="top"/>
    </xf>
    <xf numFmtId="164" fontId="21" fillId="0" borderId="5" xfId="0" applyNumberFormat="1" applyFont="1" applyFill="1" applyBorder="1" applyAlignment="1">
      <alignment horizontal="center" vertical="top"/>
    </xf>
    <xf numFmtId="165" fontId="21" fillId="0" borderId="5" xfId="0" applyNumberFormat="1" applyFont="1" applyFill="1" applyBorder="1" applyAlignment="1">
      <alignment horizontal="center" vertical="top"/>
    </xf>
    <xf numFmtId="164" fontId="1" fillId="3" borderId="5" xfId="0" applyNumberFormat="1" applyFont="1" applyFill="1" applyBorder="1" applyAlignment="1">
      <alignment horizontal="center" vertical="top"/>
    </xf>
    <xf numFmtId="165" fontId="1" fillId="3" borderId="5" xfId="0" applyNumberFormat="1" applyFont="1" applyFill="1" applyBorder="1" applyAlignment="1">
      <alignment horizontal="center" vertical="top"/>
    </xf>
    <xf numFmtId="164" fontId="22" fillId="0" borderId="5" xfId="0" applyNumberFormat="1" applyFont="1" applyFill="1" applyBorder="1" applyAlignment="1">
      <alignment horizontal="center" vertical="top"/>
    </xf>
    <xf numFmtId="164" fontId="23" fillId="0" borderId="5" xfId="0" applyNumberFormat="1" applyFont="1" applyFill="1" applyBorder="1" applyAlignment="1">
      <alignment horizontal="center" vertical="top"/>
    </xf>
    <xf numFmtId="165" fontId="23" fillId="0" borderId="5" xfId="0" applyNumberFormat="1" applyFont="1" applyFill="1" applyBorder="1" applyAlignment="1">
      <alignment horizontal="center" vertical="top"/>
    </xf>
    <xf numFmtId="164" fontId="21" fillId="0" borderId="5" xfId="0" applyNumberFormat="1" applyFont="1" applyFill="1" applyBorder="1" applyAlignment="1">
      <alignment vertical="top"/>
    </xf>
    <xf numFmtId="49" fontId="21" fillId="0" borderId="5" xfId="0" applyNumberFormat="1" applyFont="1" applyFill="1" applyBorder="1" applyAlignment="1">
      <alignment horizontal="center" vertical="top"/>
    </xf>
    <xf numFmtId="0" fontId="1" fillId="0" borderId="7" xfId="0" applyFont="1" applyFill="1" applyBorder="1" applyAlignment="1">
      <alignment horizontal="left" vertical="center" wrapText="1"/>
    </xf>
    <xf numFmtId="49" fontId="1" fillId="2" borderId="5" xfId="0" applyNumberFormat="1" applyFont="1" applyFill="1" applyBorder="1" applyAlignment="1">
      <alignment horizontal="center" vertical="top"/>
    </xf>
    <xf numFmtId="0" fontId="1" fillId="2" borderId="5" xfId="0" applyFont="1" applyFill="1" applyBorder="1" applyAlignment="1">
      <alignment horizontal="left" vertical="center"/>
    </xf>
    <xf numFmtId="49" fontId="1" fillId="0" borderId="5" xfId="0" applyNumberFormat="1" applyFont="1" applyFill="1" applyBorder="1" applyAlignment="1">
      <alignment horizontal="center" vertical="top"/>
    </xf>
    <xf numFmtId="0" fontId="1" fillId="0" borderId="5" xfId="0" applyFont="1" applyFill="1" applyBorder="1" applyAlignment="1">
      <alignment horizontal="left" vertical="center" wrapText="1"/>
    </xf>
    <xf numFmtId="0" fontId="21" fillId="0" borderId="5" xfId="0" applyFont="1" applyFill="1" applyBorder="1" applyAlignment="1">
      <alignment horizontal="left" vertical="center"/>
    </xf>
    <xf numFmtId="0" fontId="24" fillId="0" borderId="5" xfId="0" applyFont="1" applyFill="1" applyBorder="1" applyAlignment="1">
      <alignment horizontal="left" vertical="center" wrapText="1"/>
    </xf>
    <xf numFmtId="49" fontId="1" fillId="3" borderId="5" xfId="0" applyNumberFormat="1" applyFont="1" applyFill="1" applyBorder="1" applyAlignment="1">
      <alignment horizontal="center" vertical="top"/>
    </xf>
    <xf numFmtId="0" fontId="1" fillId="3" borderId="5" xfId="0" applyFont="1" applyFill="1" applyBorder="1" applyAlignment="1">
      <alignment horizontal="left" vertical="center"/>
    </xf>
    <xf numFmtId="49" fontId="23" fillId="0" borderId="5" xfId="0" applyNumberFormat="1" applyFont="1" applyFill="1" applyBorder="1" applyAlignment="1">
      <alignment horizontal="center" vertical="top"/>
    </xf>
    <xf numFmtId="0" fontId="25" fillId="0" borderId="5" xfId="0" applyFont="1" applyFill="1" applyBorder="1" applyAlignment="1">
      <alignment horizontal="left" vertical="center" wrapText="1"/>
    </xf>
    <xf numFmtId="0" fontId="21" fillId="0" borderId="5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24" fillId="0" borderId="5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center" vertical="top" wrapText="1"/>
    </xf>
    <xf numFmtId="164" fontId="21" fillId="0" borderId="1" xfId="0" applyNumberFormat="1" applyFont="1" applyFill="1" applyBorder="1" applyAlignment="1">
      <alignment horizontal="center" vertical="top"/>
    </xf>
    <xf numFmtId="164" fontId="21" fillId="0" borderId="7" xfId="0" applyNumberFormat="1" applyFont="1" applyFill="1" applyBorder="1" applyAlignment="1">
      <alignment horizontal="center" vertical="top"/>
    </xf>
    <xf numFmtId="0" fontId="3" fillId="0" borderId="5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6" xfId="0" applyFont="1" applyFill="1" applyBorder="1"/>
    <xf numFmtId="0" fontId="4" fillId="0" borderId="7" xfId="0" applyFont="1" applyFill="1" applyBorder="1"/>
    <xf numFmtId="0" fontId="18" fillId="0" borderId="0" xfId="0" applyFont="1" applyBorder="1" applyAlignment="1" applyProtection="1">
      <alignment horizontal="left" vertical="top" wrapText="1"/>
    </xf>
    <xf numFmtId="0" fontId="0" fillId="0" borderId="0" xfId="0" applyFont="1" applyBorder="1" applyAlignment="1" applyProtection="1">
      <alignment horizontal="left" vertical="top" wrapText="1"/>
    </xf>
    <xf numFmtId="0" fontId="18" fillId="0" borderId="0" xfId="0" applyFont="1" applyBorder="1" applyAlignment="1" applyProtection="1">
      <alignment horizontal="left"/>
    </xf>
    <xf numFmtId="0" fontId="3" fillId="0" borderId="2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125</xdr:row>
      <xdr:rowOff>0</xdr:rowOff>
    </xdr:from>
    <xdr:to>
      <xdr:col>4</xdr:col>
      <xdr:colOff>0</xdr:colOff>
      <xdr:row>127</xdr:row>
      <xdr:rowOff>7620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0" y="16668750"/>
          <a:ext cx="6162675" cy="274320"/>
          <a:chOff x="0" y="0"/>
          <a:chExt cx="1023" cy="255"/>
        </a:xfrm>
      </xdr:grpSpPr>
      <xdr:sp macro="" textlink="">
        <xdr:nvSpPr>
          <xdr:cNvPr id="3" name="Text Box 2"/>
          <xdr:cNvSpPr txBox="1">
            <a:spLocks noChangeArrowheads="1"/>
          </xdr:cNvSpPr>
        </xdr:nvSpPr>
        <xdr:spPr bwMode="auto">
          <a:xfrm>
            <a:off x="1" y="1"/>
            <a:ext cx="367" cy="87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4" name="Text Box 3"/>
          <xdr:cNvSpPr txBox="1">
            <a:spLocks noChangeArrowheads="1"/>
          </xdr:cNvSpPr>
        </xdr:nvSpPr>
        <xdr:spPr bwMode="auto">
          <a:xfrm>
            <a:off x="428" y="1"/>
            <a:ext cx="174" cy="87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</xdr:sp>
      <xdr:sp macro="" textlink="">
        <xdr:nvSpPr>
          <xdr:cNvPr id="5" name="Text Box 4"/>
          <xdr:cNvSpPr txBox="1">
            <a:spLocks noChangeArrowheads="1"/>
          </xdr:cNvSpPr>
        </xdr:nvSpPr>
        <xdr:spPr bwMode="auto">
          <a:xfrm>
            <a:off x="428" y="89"/>
            <a:ext cx="174" cy="87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6" name="Line 5"/>
          <xdr:cNvSpPr>
            <a:spLocks noChangeShapeType="1"/>
          </xdr:cNvSpPr>
        </xdr:nvSpPr>
        <xdr:spPr bwMode="auto">
          <a:xfrm>
            <a:off x="428" y="89"/>
            <a:ext cx="174" cy="0"/>
          </a:xfrm>
          <a:prstGeom prst="line">
            <a:avLst/>
          </a:prstGeom>
          <a:noFill/>
          <a:ln w="9525">
            <a:solidFill>
              <a:srgbClr val="000000"/>
            </a:solidFill>
            <a:prstDash val="solid"/>
            <a:round/>
            <a:headEnd/>
            <a:tailEnd/>
          </a:ln>
        </xdr:spPr>
      </xdr:sp>
      <xdr:sp macro="" textlink="">
        <xdr:nvSpPr>
          <xdr:cNvPr id="7" name="Text Box 6"/>
          <xdr:cNvSpPr txBox="1">
            <a:spLocks noChangeArrowheads="1"/>
          </xdr:cNvSpPr>
        </xdr:nvSpPr>
        <xdr:spPr bwMode="auto">
          <a:xfrm>
            <a:off x="662" y="1"/>
            <a:ext cx="367" cy="87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</xdr:sp>
      <xdr:sp macro="" textlink="">
        <xdr:nvSpPr>
          <xdr:cNvPr id="8" name="Text Box 7"/>
          <xdr:cNvSpPr txBox="1">
            <a:spLocks noChangeArrowheads="1"/>
          </xdr:cNvSpPr>
        </xdr:nvSpPr>
        <xdr:spPr bwMode="auto">
          <a:xfrm>
            <a:off x="662" y="89"/>
            <a:ext cx="367" cy="87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9" name="Line 8"/>
          <xdr:cNvSpPr>
            <a:spLocks noChangeShapeType="1"/>
          </xdr:cNvSpPr>
        </xdr:nvSpPr>
        <xdr:spPr bwMode="auto">
          <a:xfrm>
            <a:off x="662" y="89"/>
            <a:ext cx="367" cy="0"/>
          </a:xfrm>
          <a:prstGeom prst="line">
            <a:avLst/>
          </a:prstGeom>
          <a:noFill/>
          <a:ln w="9525">
            <a:solidFill>
              <a:srgbClr val="000000"/>
            </a:solidFill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0</xdr:col>
      <xdr:colOff>0</xdr:colOff>
      <xdr:row>128</xdr:row>
      <xdr:rowOff>38100</xdr:rowOff>
    </xdr:from>
    <xdr:to>
      <xdr:col>4</xdr:col>
      <xdr:colOff>0</xdr:colOff>
      <xdr:row>130</xdr:row>
      <xdr:rowOff>15240</xdr:rowOff>
    </xdr:to>
    <xdr:grpSp>
      <xdr:nvGrpSpPr>
        <xdr:cNvPr id="10" name="Group 9"/>
        <xdr:cNvGrpSpPr>
          <a:grpSpLocks/>
        </xdr:cNvGrpSpPr>
      </xdr:nvGrpSpPr>
      <xdr:grpSpPr bwMode="auto">
        <a:xfrm>
          <a:off x="0" y="17106900"/>
          <a:ext cx="6162675" cy="243840"/>
          <a:chOff x="0" y="0"/>
          <a:chExt cx="1023" cy="255"/>
        </a:xfrm>
      </xdr:grpSpPr>
      <xdr:sp macro="" textlink="">
        <xdr:nvSpPr>
          <xdr:cNvPr id="11" name="Text Box 10"/>
          <xdr:cNvSpPr txBox="1">
            <a:spLocks noChangeArrowheads="1"/>
          </xdr:cNvSpPr>
        </xdr:nvSpPr>
        <xdr:spPr bwMode="auto">
          <a:xfrm>
            <a:off x="1" y="1"/>
            <a:ext cx="367" cy="87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Исполнитель</a:t>
            </a:r>
          </a:p>
        </xdr:txBody>
      </xdr:sp>
      <xdr:sp macro="" textlink="">
        <xdr:nvSpPr>
          <xdr:cNvPr id="12" name="Text Box 11"/>
          <xdr:cNvSpPr txBox="1">
            <a:spLocks noChangeArrowheads="1"/>
          </xdr:cNvSpPr>
        </xdr:nvSpPr>
        <xdr:spPr bwMode="auto">
          <a:xfrm>
            <a:off x="428" y="1"/>
            <a:ext cx="174" cy="87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</xdr:sp>
      <xdr:sp macro="" textlink="">
        <xdr:nvSpPr>
          <xdr:cNvPr id="13" name="Text Box 12"/>
          <xdr:cNvSpPr txBox="1">
            <a:spLocks noChangeArrowheads="1"/>
          </xdr:cNvSpPr>
        </xdr:nvSpPr>
        <xdr:spPr bwMode="auto">
          <a:xfrm>
            <a:off x="428" y="89"/>
            <a:ext cx="174" cy="87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14" name="Line 13"/>
          <xdr:cNvSpPr>
            <a:spLocks noChangeShapeType="1"/>
          </xdr:cNvSpPr>
        </xdr:nvSpPr>
        <xdr:spPr bwMode="auto">
          <a:xfrm>
            <a:off x="428" y="89"/>
            <a:ext cx="174" cy="0"/>
          </a:xfrm>
          <a:prstGeom prst="line">
            <a:avLst/>
          </a:prstGeom>
          <a:noFill/>
          <a:ln w="9525">
            <a:solidFill>
              <a:srgbClr val="000000"/>
            </a:solidFill>
            <a:prstDash val="solid"/>
            <a:round/>
            <a:headEnd/>
            <a:tailEnd/>
          </a:ln>
        </xdr:spPr>
      </xdr:sp>
      <xdr:sp macro="" textlink="">
        <xdr:nvSpPr>
          <xdr:cNvPr id="15" name="Text Box 14"/>
          <xdr:cNvSpPr txBox="1">
            <a:spLocks noChangeArrowheads="1"/>
          </xdr:cNvSpPr>
        </xdr:nvSpPr>
        <xdr:spPr bwMode="auto">
          <a:xfrm>
            <a:off x="662" y="1"/>
            <a:ext cx="367" cy="87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</xdr:sp>
      <xdr:sp macro="" textlink="">
        <xdr:nvSpPr>
          <xdr:cNvPr id="16" name="Text Box 15"/>
          <xdr:cNvSpPr txBox="1">
            <a:spLocks noChangeArrowheads="1"/>
          </xdr:cNvSpPr>
        </xdr:nvSpPr>
        <xdr:spPr bwMode="auto">
          <a:xfrm>
            <a:off x="662" y="89"/>
            <a:ext cx="367" cy="87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17" name="Line 16"/>
          <xdr:cNvSpPr>
            <a:spLocks noChangeShapeType="1"/>
          </xdr:cNvSpPr>
        </xdr:nvSpPr>
        <xdr:spPr bwMode="auto">
          <a:xfrm>
            <a:off x="662" y="89"/>
            <a:ext cx="367" cy="0"/>
          </a:xfrm>
          <a:prstGeom prst="line">
            <a:avLst/>
          </a:prstGeom>
          <a:noFill/>
          <a:ln w="9525">
            <a:solidFill>
              <a:srgbClr val="000000"/>
            </a:solidFill>
            <a:prstDash val="solid"/>
            <a:round/>
            <a:headEnd/>
            <a:tailEnd/>
          </a:ln>
        </xdr:spPr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200"/>
  <sheetViews>
    <sheetView tabSelected="1" zoomScale="78" zoomScaleNormal="78" workbookViewId="0">
      <pane xSplit="5" ySplit="7" topLeftCell="F182" activePane="bottomRight" state="frozen"/>
      <selection pane="topRight" activeCell="F1" sqref="F1"/>
      <selection pane="bottomLeft" activeCell="A8" sqref="A8"/>
      <selection pane="bottomRight" activeCell="B89" sqref="B89"/>
    </sheetView>
  </sheetViews>
  <sheetFormatPr defaultColWidth="8.85546875" defaultRowHeight="15"/>
  <cols>
    <col min="1" max="1" width="6.42578125" style="3" customWidth="1"/>
    <col min="2" max="2" width="48.85546875" style="20" customWidth="1"/>
    <col min="3" max="3" width="7.7109375" style="3" customWidth="1"/>
    <col min="4" max="4" width="21.5703125" style="3" customWidth="1"/>
    <col min="5" max="5" width="21.28515625" style="3" customWidth="1"/>
    <col min="6" max="6" width="17.140625" style="3" customWidth="1"/>
    <col min="7" max="7" width="15.28515625" style="3" customWidth="1"/>
    <col min="8" max="8" width="16.7109375" style="3" customWidth="1"/>
    <col min="9" max="9" width="15.28515625" style="3" customWidth="1"/>
    <col min="10" max="10" width="15.42578125" style="3" customWidth="1"/>
    <col min="11" max="11" width="17" style="3" customWidth="1"/>
    <col min="12" max="12" width="18" style="3" customWidth="1"/>
    <col min="13" max="13" width="14.5703125" style="3" customWidth="1"/>
    <col min="14" max="14" width="16.28515625" style="3" customWidth="1"/>
    <col min="15" max="16" width="16.42578125" style="3" customWidth="1"/>
    <col min="17" max="17" width="15" style="3" customWidth="1"/>
    <col min="18" max="22" width="16.7109375" style="3" customWidth="1"/>
    <col min="23" max="16384" width="8.85546875" style="3"/>
  </cols>
  <sheetData>
    <row r="1" spans="1:22" ht="18.75">
      <c r="B1" s="118" t="s">
        <v>349</v>
      </c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4"/>
    </row>
    <row r="2" spans="1:22" ht="18.75"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4"/>
    </row>
    <row r="3" spans="1:22">
      <c r="E3" s="5"/>
      <c r="F3" s="6"/>
      <c r="G3" s="37"/>
      <c r="H3" s="37"/>
      <c r="K3" s="37"/>
      <c r="L3" s="37"/>
      <c r="N3" s="6"/>
      <c r="O3" s="6"/>
      <c r="T3" s="7"/>
      <c r="U3" s="7"/>
    </row>
    <row r="4" spans="1:22" ht="16.5">
      <c r="A4" s="120" t="s">
        <v>0</v>
      </c>
      <c r="B4" s="123" t="s">
        <v>1</v>
      </c>
      <c r="C4" s="120" t="s">
        <v>2</v>
      </c>
      <c r="D4" s="120" t="s">
        <v>3</v>
      </c>
      <c r="E4" s="120" t="s">
        <v>4</v>
      </c>
      <c r="F4" s="117" t="s">
        <v>5</v>
      </c>
      <c r="G4" s="117"/>
      <c r="H4" s="117"/>
      <c r="I4" s="117"/>
      <c r="J4" s="117"/>
      <c r="K4" s="117"/>
      <c r="L4" s="117"/>
      <c r="M4" s="117"/>
      <c r="N4" s="117" t="s">
        <v>6</v>
      </c>
      <c r="O4" s="117"/>
      <c r="P4" s="117"/>
      <c r="Q4" s="117"/>
      <c r="R4" s="117" t="s">
        <v>7</v>
      </c>
      <c r="S4" s="117"/>
      <c r="T4" s="117"/>
      <c r="U4" s="117"/>
      <c r="V4" s="117" t="s">
        <v>345</v>
      </c>
    </row>
    <row r="5" spans="1:22" ht="16.5">
      <c r="A5" s="121"/>
      <c r="B5" s="124"/>
      <c r="C5" s="121"/>
      <c r="D5" s="121"/>
      <c r="E5" s="126"/>
      <c r="F5" s="117" t="s">
        <v>8</v>
      </c>
      <c r="G5" s="117"/>
      <c r="H5" s="117"/>
      <c r="I5" s="117"/>
      <c r="J5" s="117" t="s">
        <v>9</v>
      </c>
      <c r="K5" s="117"/>
      <c r="L5" s="117"/>
      <c r="M5" s="117"/>
      <c r="N5" s="117" t="s">
        <v>10</v>
      </c>
      <c r="O5" s="117"/>
      <c r="P5" s="117"/>
      <c r="Q5" s="117"/>
      <c r="R5" s="117" t="s">
        <v>11</v>
      </c>
      <c r="S5" s="117"/>
      <c r="T5" s="117"/>
      <c r="U5" s="117"/>
      <c r="V5" s="117"/>
    </row>
    <row r="6" spans="1:22" ht="71.45" customHeight="1">
      <c r="A6" s="122"/>
      <c r="B6" s="125"/>
      <c r="C6" s="122"/>
      <c r="D6" s="122"/>
      <c r="E6" s="127"/>
      <c r="F6" s="114" t="s">
        <v>12</v>
      </c>
      <c r="G6" s="114" t="s">
        <v>13</v>
      </c>
      <c r="H6" s="114" t="s">
        <v>14</v>
      </c>
      <c r="I6" s="114" t="s">
        <v>15</v>
      </c>
      <c r="J6" s="114" t="s">
        <v>12</v>
      </c>
      <c r="K6" s="114" t="s">
        <v>13</v>
      </c>
      <c r="L6" s="114" t="s">
        <v>14</v>
      </c>
      <c r="M6" s="114" t="s">
        <v>15</v>
      </c>
      <c r="N6" s="114" t="s">
        <v>12</v>
      </c>
      <c r="O6" s="114" t="s">
        <v>13</v>
      </c>
      <c r="P6" s="114" t="s">
        <v>14</v>
      </c>
      <c r="Q6" s="114" t="s">
        <v>15</v>
      </c>
      <c r="R6" s="114" t="s">
        <v>12</v>
      </c>
      <c r="S6" s="114" t="s">
        <v>13</v>
      </c>
      <c r="T6" s="114" t="s">
        <v>14</v>
      </c>
      <c r="U6" s="114" t="s">
        <v>15</v>
      </c>
      <c r="V6" s="117"/>
    </row>
    <row r="7" spans="1:22" ht="16.5">
      <c r="A7" s="9" t="s">
        <v>16</v>
      </c>
      <c r="B7" s="21">
        <v>2</v>
      </c>
      <c r="C7" s="10">
        <v>3</v>
      </c>
      <c r="D7" s="10">
        <v>4</v>
      </c>
      <c r="E7" s="10">
        <v>5</v>
      </c>
      <c r="F7" s="83">
        <v>6</v>
      </c>
      <c r="G7" s="83">
        <v>7</v>
      </c>
      <c r="H7" s="83">
        <v>8</v>
      </c>
      <c r="I7" s="83">
        <v>9</v>
      </c>
      <c r="J7" s="83">
        <v>10</v>
      </c>
      <c r="K7" s="83">
        <v>11</v>
      </c>
      <c r="L7" s="83">
        <v>12</v>
      </c>
      <c r="M7" s="83">
        <v>13</v>
      </c>
      <c r="N7" s="83">
        <v>14</v>
      </c>
      <c r="O7" s="83">
        <v>15</v>
      </c>
      <c r="P7" s="83">
        <v>16</v>
      </c>
      <c r="Q7" s="83">
        <v>17</v>
      </c>
      <c r="R7" s="83">
        <v>18</v>
      </c>
      <c r="S7" s="83">
        <v>19</v>
      </c>
      <c r="T7" s="83">
        <v>20</v>
      </c>
      <c r="U7" s="83">
        <v>21</v>
      </c>
      <c r="V7" s="83">
        <v>22</v>
      </c>
    </row>
    <row r="8" spans="1:22" ht="19.5">
      <c r="A8" s="98"/>
      <c r="B8" s="99" t="s">
        <v>17</v>
      </c>
      <c r="C8" s="10"/>
      <c r="D8" s="10"/>
      <c r="E8" s="10"/>
      <c r="F8" s="84">
        <f t="shared" ref="F8:U8" si="0">F9+F41+F67+F102+F125+F137+F152+F156+F168+F188</f>
        <v>10207897.699999999</v>
      </c>
      <c r="G8" s="84">
        <f>G9+G41+G67+G102+G125+G137+G152+G156+G168+G188</f>
        <v>3426109.4</v>
      </c>
      <c r="H8" s="84">
        <f t="shared" si="0"/>
        <v>6201772.9000000004</v>
      </c>
      <c r="I8" s="84">
        <f t="shared" si="0"/>
        <v>580015.4</v>
      </c>
      <c r="J8" s="84">
        <f t="shared" ref="J8" si="1">J9+J41+J67+J102+J125+J137+J152+J156+J168+J188</f>
        <v>6369966.2000000002</v>
      </c>
      <c r="K8" s="84">
        <f t="shared" si="0"/>
        <v>2370003.2000000002</v>
      </c>
      <c r="L8" s="84">
        <f t="shared" si="0"/>
        <v>3679767.9</v>
      </c>
      <c r="M8" s="84">
        <f t="shared" si="0"/>
        <v>320195</v>
      </c>
      <c r="N8" s="84">
        <f t="shared" ref="N8" si="2">N9+N41+N67+N102+N125+N137+N152+N156+N168+N188</f>
        <v>7775349.9000000004</v>
      </c>
      <c r="O8" s="84">
        <f t="shared" si="0"/>
        <v>3157451.1</v>
      </c>
      <c r="P8" s="84">
        <f t="shared" si="0"/>
        <v>4168455</v>
      </c>
      <c r="Q8" s="84">
        <f t="shared" si="0"/>
        <v>449443.8</v>
      </c>
      <c r="R8" s="84">
        <f t="shared" ref="R8" si="3">R9+R41+R67+R102+R125+R137+R152+R156+R168+R188</f>
        <v>8475447.6999999993</v>
      </c>
      <c r="S8" s="84">
        <f t="shared" si="0"/>
        <v>3097368.7</v>
      </c>
      <c r="T8" s="84">
        <f t="shared" si="0"/>
        <v>4917867.9000000004</v>
      </c>
      <c r="U8" s="84">
        <f t="shared" si="0"/>
        <v>460211.1</v>
      </c>
      <c r="V8" s="85">
        <f>J8/F8</f>
        <v>0.624</v>
      </c>
    </row>
    <row r="9" spans="1:22" ht="18.75">
      <c r="A9" s="100">
        <v>1</v>
      </c>
      <c r="B9" s="101" t="s">
        <v>18</v>
      </c>
      <c r="C9" s="2" t="s">
        <v>19</v>
      </c>
      <c r="D9" s="2" t="s">
        <v>19</v>
      </c>
      <c r="E9" s="2" t="s">
        <v>19</v>
      </c>
      <c r="F9" s="86">
        <f>F10+F20+F30+F34+F38</f>
        <v>2987622.6</v>
      </c>
      <c r="G9" s="86">
        <f t="shared" ref="G9:Q9" si="4">G10+G20+G30+G34+G38</f>
        <v>1573700</v>
      </c>
      <c r="H9" s="86">
        <f t="shared" si="4"/>
        <v>1369595.5</v>
      </c>
      <c r="I9" s="86">
        <f>I10+I20+I30+I34+I38</f>
        <v>44327.1</v>
      </c>
      <c r="J9" s="86">
        <f>J10+J20+J30+J34+J38</f>
        <v>1296484.1000000001</v>
      </c>
      <c r="K9" s="86">
        <f t="shared" si="4"/>
        <v>783958.9</v>
      </c>
      <c r="L9" s="86">
        <f t="shared" si="4"/>
        <v>486127.6</v>
      </c>
      <c r="M9" s="86">
        <f t="shared" si="4"/>
        <v>26397.599999999999</v>
      </c>
      <c r="N9" s="86">
        <f>N10+N20+N30+N34+N38</f>
        <v>2108945.9</v>
      </c>
      <c r="O9" s="86">
        <f t="shared" si="4"/>
        <v>1239106.7</v>
      </c>
      <c r="P9" s="86">
        <f>P10+P20+P30+P34+P38</f>
        <v>849650.9</v>
      </c>
      <c r="Q9" s="86">
        <f t="shared" si="4"/>
        <v>20188.3</v>
      </c>
      <c r="R9" s="86">
        <f>R10+R20+R30+R34+R38</f>
        <v>2704361.1</v>
      </c>
      <c r="S9" s="86">
        <f t="shared" ref="S9:U9" si="5">S10+S20+S30+S34+S38</f>
        <v>1222092.8999999999</v>
      </c>
      <c r="T9" s="86">
        <f t="shared" si="5"/>
        <v>1476268.3</v>
      </c>
      <c r="U9" s="86">
        <f t="shared" si="5"/>
        <v>5999.9</v>
      </c>
      <c r="V9" s="87">
        <f t="shared" ref="V9:V72" si="6">J9/F9</f>
        <v>0.434</v>
      </c>
    </row>
    <row r="10" spans="1:22" ht="37.5">
      <c r="A10" s="102" t="s">
        <v>20</v>
      </c>
      <c r="B10" s="103" t="s">
        <v>21</v>
      </c>
      <c r="C10" s="12" t="s">
        <v>19</v>
      </c>
      <c r="D10" s="12" t="s">
        <v>19</v>
      </c>
      <c r="E10" s="12" t="s">
        <v>19</v>
      </c>
      <c r="F10" s="88">
        <f>SUM(G10:I10)</f>
        <v>348818.5</v>
      </c>
      <c r="G10" s="88">
        <f>SUM(G12:G19)</f>
        <v>15119.7</v>
      </c>
      <c r="H10" s="88">
        <f>SUM(H12:H19)</f>
        <v>333698.8</v>
      </c>
      <c r="I10" s="88">
        <f>SUM(I12:I19)</f>
        <v>0</v>
      </c>
      <c r="J10" s="88">
        <f>SUM(K10:M10)</f>
        <v>147427.1</v>
      </c>
      <c r="K10" s="88">
        <f>SUM(K12:K19)</f>
        <v>5444.8</v>
      </c>
      <c r="L10" s="88">
        <f>SUM(L12:L19)</f>
        <v>141982.29999999999</v>
      </c>
      <c r="M10" s="88">
        <f>SUM(M12:M19)</f>
        <v>0</v>
      </c>
      <c r="N10" s="88">
        <f>SUM(O10:Q10)</f>
        <v>260053.7</v>
      </c>
      <c r="O10" s="88">
        <f>SUM(O12:O19)</f>
        <v>7939.8</v>
      </c>
      <c r="P10" s="88">
        <f>SUM(P12:P19)</f>
        <v>252113.9</v>
      </c>
      <c r="Q10" s="88">
        <f>SUM(Q12:Q19)</f>
        <v>0</v>
      </c>
      <c r="R10" s="88">
        <f>SUM(S10:U10)</f>
        <v>89065.4</v>
      </c>
      <c r="S10" s="88">
        <f>SUM(S12:S19)</f>
        <v>3030.3</v>
      </c>
      <c r="T10" s="88">
        <f>SUM(T12:T19)</f>
        <v>86035.1</v>
      </c>
      <c r="U10" s="88">
        <f>SUM(U12:U19)</f>
        <v>0</v>
      </c>
      <c r="V10" s="89">
        <f t="shared" si="6"/>
        <v>0.42299999999999999</v>
      </c>
    </row>
    <row r="11" spans="1:22" ht="18.75">
      <c r="A11" s="102"/>
      <c r="B11" s="104" t="s">
        <v>22</v>
      </c>
      <c r="C11" s="13"/>
      <c r="D11" s="13"/>
      <c r="E11" s="13"/>
      <c r="F11" s="88"/>
      <c r="G11" s="90"/>
      <c r="H11" s="90"/>
      <c r="I11" s="90"/>
      <c r="J11" s="88"/>
      <c r="K11" s="90"/>
      <c r="L11" s="90"/>
      <c r="M11" s="90"/>
      <c r="N11" s="88"/>
      <c r="O11" s="90"/>
      <c r="P11" s="90"/>
      <c r="Q11" s="90"/>
      <c r="R11" s="88"/>
      <c r="S11" s="90"/>
      <c r="T11" s="90"/>
      <c r="U11" s="90"/>
      <c r="V11" s="91"/>
    </row>
    <row r="12" spans="1:22" ht="75">
      <c r="A12" s="102" t="s">
        <v>23</v>
      </c>
      <c r="B12" s="105" t="s">
        <v>24</v>
      </c>
      <c r="C12" s="13">
        <v>839</v>
      </c>
      <c r="D12" s="14" t="s">
        <v>25</v>
      </c>
      <c r="E12" s="13" t="s">
        <v>26</v>
      </c>
      <c r="F12" s="88">
        <f>SUM(G12:I12)</f>
        <v>25141.7</v>
      </c>
      <c r="G12" s="90">
        <v>1257.0999999999999</v>
      </c>
      <c r="H12" s="90">
        <v>23884.6</v>
      </c>
      <c r="I12" s="90"/>
      <c r="J12" s="88">
        <f>SUM(K12:M12)</f>
        <v>4814.8999999999996</v>
      </c>
      <c r="K12" s="90">
        <v>240.8</v>
      </c>
      <c r="L12" s="90">
        <v>4574.1000000000004</v>
      </c>
      <c r="M12" s="90"/>
      <c r="N12" s="88">
        <f>SUM(O12:Q12)</f>
        <v>23985.9</v>
      </c>
      <c r="O12" s="90">
        <v>1199.3</v>
      </c>
      <c r="P12" s="90">
        <v>22786.6</v>
      </c>
      <c r="Q12" s="90"/>
      <c r="R12" s="88">
        <f>SUM(S12:U12)</f>
        <v>23985.9</v>
      </c>
      <c r="S12" s="90">
        <v>1199.3</v>
      </c>
      <c r="T12" s="90">
        <v>22786.6</v>
      </c>
      <c r="U12" s="90"/>
      <c r="V12" s="91">
        <f t="shared" si="6"/>
        <v>0.192</v>
      </c>
    </row>
    <row r="13" spans="1:22" ht="93.75">
      <c r="A13" s="102" t="s">
        <v>23</v>
      </c>
      <c r="B13" s="105" t="s">
        <v>27</v>
      </c>
      <c r="C13" s="13">
        <v>839</v>
      </c>
      <c r="D13" s="14" t="s">
        <v>25</v>
      </c>
      <c r="E13" s="13" t="s">
        <v>28</v>
      </c>
      <c r="F13" s="88">
        <f t="shared" ref="F13:F19" si="7">SUM(G13:I13)</f>
        <v>3481.5</v>
      </c>
      <c r="G13" s="90">
        <v>174.1</v>
      </c>
      <c r="H13" s="90">
        <v>3307.4</v>
      </c>
      <c r="I13" s="90"/>
      <c r="J13" s="88">
        <f>SUM(K13:M13)</f>
        <v>818.2</v>
      </c>
      <c r="K13" s="90">
        <v>40.9</v>
      </c>
      <c r="L13" s="90">
        <v>777.3</v>
      </c>
      <c r="M13" s="90"/>
      <c r="N13" s="88">
        <f t="shared" ref="N13:N19" si="8">SUM(O13:Q13)</f>
        <v>4637.3</v>
      </c>
      <c r="O13" s="90">
        <f>231.9</f>
        <v>231.9</v>
      </c>
      <c r="P13" s="90">
        <f>4405.4</f>
        <v>4405.3999999999996</v>
      </c>
      <c r="Q13" s="90"/>
      <c r="R13" s="88">
        <f t="shared" ref="R13:R19" si="9">SUM(S13:U13)</f>
        <v>4637.3</v>
      </c>
      <c r="S13" s="90">
        <v>231.9</v>
      </c>
      <c r="T13" s="90">
        <v>4405.3999999999996</v>
      </c>
      <c r="U13" s="90"/>
      <c r="V13" s="91">
        <f t="shared" si="6"/>
        <v>0.23499999999999999</v>
      </c>
    </row>
    <row r="14" spans="1:22" ht="168.75">
      <c r="A14" s="102" t="s">
        <v>23</v>
      </c>
      <c r="B14" s="105" t="s">
        <v>29</v>
      </c>
      <c r="C14" s="13">
        <v>811</v>
      </c>
      <c r="D14" s="14" t="s">
        <v>30</v>
      </c>
      <c r="E14" s="13" t="s">
        <v>31</v>
      </c>
      <c r="F14" s="88">
        <f t="shared" si="7"/>
        <v>0</v>
      </c>
      <c r="G14" s="90"/>
      <c r="H14" s="90"/>
      <c r="I14" s="90"/>
      <c r="J14" s="88">
        <f t="shared" ref="J14:J19" si="10">SUM(K14:M14)</f>
        <v>0</v>
      </c>
      <c r="K14" s="90"/>
      <c r="L14" s="90"/>
      <c r="M14" s="90"/>
      <c r="N14" s="88">
        <f t="shared" si="8"/>
        <v>27312.6</v>
      </c>
      <c r="O14" s="90"/>
      <c r="P14" s="90">
        <v>27312.6</v>
      </c>
      <c r="Q14" s="90"/>
      <c r="R14" s="88">
        <f t="shared" si="9"/>
        <v>7245</v>
      </c>
      <c r="S14" s="90"/>
      <c r="T14" s="90">
        <v>7245</v>
      </c>
      <c r="U14" s="90"/>
      <c r="V14" s="91"/>
    </row>
    <row r="15" spans="1:22" ht="93.75">
      <c r="A15" s="102"/>
      <c r="B15" s="105" t="s">
        <v>333</v>
      </c>
      <c r="C15" s="13">
        <v>809</v>
      </c>
      <c r="D15" s="14" t="s">
        <v>39</v>
      </c>
      <c r="E15" s="13" t="s">
        <v>334</v>
      </c>
      <c r="F15" s="88">
        <f t="shared" si="7"/>
        <v>3539.6</v>
      </c>
      <c r="G15" s="90">
        <v>3539.6</v>
      </c>
      <c r="H15" s="90"/>
      <c r="I15" s="90"/>
      <c r="J15" s="88">
        <f t="shared" si="10"/>
        <v>627.4</v>
      </c>
      <c r="K15" s="90">
        <v>627.4</v>
      </c>
      <c r="L15" s="90"/>
      <c r="M15" s="90"/>
      <c r="N15" s="88">
        <f t="shared" si="8"/>
        <v>0</v>
      </c>
      <c r="O15" s="90"/>
      <c r="P15" s="90"/>
      <c r="Q15" s="90"/>
      <c r="R15" s="88">
        <f t="shared" si="9"/>
        <v>0</v>
      </c>
      <c r="S15" s="90"/>
      <c r="T15" s="90"/>
      <c r="U15" s="90"/>
      <c r="V15" s="91">
        <f t="shared" si="6"/>
        <v>0.17699999999999999</v>
      </c>
    </row>
    <row r="16" spans="1:22" ht="112.5">
      <c r="A16" s="102" t="s">
        <v>23</v>
      </c>
      <c r="B16" s="105" t="s">
        <v>32</v>
      </c>
      <c r="C16" s="13">
        <v>811</v>
      </c>
      <c r="D16" s="14" t="s">
        <v>30</v>
      </c>
      <c r="E16" s="13" t="s">
        <v>33</v>
      </c>
      <c r="F16" s="88">
        <f t="shared" si="7"/>
        <v>1634.4</v>
      </c>
      <c r="G16" s="90"/>
      <c r="H16" s="90">
        <v>1634.4</v>
      </c>
      <c r="I16" s="90"/>
      <c r="J16" s="88">
        <f t="shared" si="10"/>
        <v>1625.5</v>
      </c>
      <c r="K16" s="90"/>
      <c r="L16" s="90">
        <v>1625.5</v>
      </c>
      <c r="M16" s="90"/>
      <c r="N16" s="88">
        <f t="shared" si="8"/>
        <v>163.69999999999999</v>
      </c>
      <c r="O16" s="90"/>
      <c r="P16" s="90">
        <v>163.69999999999999</v>
      </c>
      <c r="Q16" s="90"/>
      <c r="R16" s="88">
        <f t="shared" si="9"/>
        <v>163.5</v>
      </c>
      <c r="S16" s="90"/>
      <c r="T16" s="90">
        <v>163.5</v>
      </c>
      <c r="U16" s="90"/>
      <c r="V16" s="91">
        <f t="shared" si="6"/>
        <v>0.995</v>
      </c>
    </row>
    <row r="17" spans="1:22" ht="93.75">
      <c r="A17" s="102" t="s">
        <v>34</v>
      </c>
      <c r="B17" s="105" t="s">
        <v>35</v>
      </c>
      <c r="C17" s="13">
        <v>821</v>
      </c>
      <c r="D17" s="14" t="s">
        <v>36</v>
      </c>
      <c r="E17" s="13" t="s">
        <v>37</v>
      </c>
      <c r="F17" s="88">
        <f t="shared" si="7"/>
        <v>292352.09999999998</v>
      </c>
      <c r="G17" s="90">
        <f>8753.1+581.5</f>
        <v>9334.6</v>
      </c>
      <c r="H17" s="90">
        <v>283017.5</v>
      </c>
      <c r="I17" s="90"/>
      <c r="J17" s="88">
        <f t="shared" si="10"/>
        <v>118130.8</v>
      </c>
      <c r="K17" s="90">
        <v>3721.4</v>
      </c>
      <c r="L17" s="90">
        <v>114409.4</v>
      </c>
      <c r="M17" s="90"/>
      <c r="N17" s="88">
        <f t="shared" si="8"/>
        <v>203954.2</v>
      </c>
      <c r="O17" s="90">
        <f>203954.2-197445.6</f>
        <v>6508.6</v>
      </c>
      <c r="P17" s="90">
        <v>197445.6</v>
      </c>
      <c r="Q17" s="90"/>
      <c r="R17" s="88">
        <f t="shared" si="9"/>
        <v>53033.7</v>
      </c>
      <c r="S17" s="90">
        <f>4047.7+32717+16269-51434.6</f>
        <v>1599.1</v>
      </c>
      <c r="T17" s="90">
        <v>51434.6</v>
      </c>
      <c r="U17" s="90"/>
      <c r="V17" s="91">
        <f t="shared" si="6"/>
        <v>0.40400000000000003</v>
      </c>
    </row>
    <row r="18" spans="1:22" ht="66">
      <c r="A18" s="102" t="s">
        <v>23</v>
      </c>
      <c r="B18" s="105" t="s">
        <v>38</v>
      </c>
      <c r="C18" s="13">
        <v>809</v>
      </c>
      <c r="D18" s="14" t="s">
        <v>39</v>
      </c>
      <c r="E18" s="13" t="s">
        <v>40</v>
      </c>
      <c r="F18" s="88">
        <f t="shared" si="7"/>
        <v>22669.200000000001</v>
      </c>
      <c r="G18" s="90">
        <f>675.9+138.4</f>
        <v>814.3</v>
      </c>
      <c r="H18" s="90">
        <v>21854.9</v>
      </c>
      <c r="I18" s="90"/>
      <c r="J18" s="88">
        <f t="shared" si="10"/>
        <v>21410.3</v>
      </c>
      <c r="K18" s="90">
        <v>814.3</v>
      </c>
      <c r="L18" s="90">
        <v>20596</v>
      </c>
      <c r="M18" s="90"/>
      <c r="N18" s="88">
        <f t="shared" si="8"/>
        <v>0</v>
      </c>
      <c r="O18" s="90"/>
      <c r="P18" s="90"/>
      <c r="Q18" s="90"/>
      <c r="R18" s="88">
        <f t="shared" si="9"/>
        <v>0</v>
      </c>
      <c r="S18" s="90"/>
      <c r="T18" s="90"/>
      <c r="U18" s="90"/>
      <c r="V18" s="91">
        <f t="shared" si="6"/>
        <v>0.94399999999999995</v>
      </c>
    </row>
    <row r="19" spans="1:22" ht="93.75">
      <c r="A19" s="102"/>
      <c r="B19" s="105" t="s">
        <v>41</v>
      </c>
      <c r="C19" s="13">
        <v>821</v>
      </c>
      <c r="D19" s="14" t="s">
        <v>36</v>
      </c>
      <c r="E19" s="13" t="s">
        <v>42</v>
      </c>
      <c r="F19" s="88">
        <f t="shared" si="7"/>
        <v>0</v>
      </c>
      <c r="G19" s="90">
        <f>581.5-581.5</f>
        <v>0</v>
      </c>
      <c r="H19" s="90"/>
      <c r="I19" s="90"/>
      <c r="J19" s="88">
        <f t="shared" si="10"/>
        <v>0</v>
      </c>
      <c r="K19" s="90"/>
      <c r="L19" s="90"/>
      <c r="M19" s="90"/>
      <c r="N19" s="88">
        <f t="shared" si="8"/>
        <v>0</v>
      </c>
      <c r="O19" s="90">
        <f>402-402</f>
        <v>0</v>
      </c>
      <c r="P19" s="90"/>
      <c r="Q19" s="90"/>
      <c r="R19" s="88">
        <f t="shared" si="9"/>
        <v>0</v>
      </c>
      <c r="S19" s="90">
        <f>8.3-8.3</f>
        <v>0</v>
      </c>
      <c r="T19" s="90"/>
      <c r="U19" s="90"/>
      <c r="V19" s="91"/>
    </row>
    <row r="20" spans="1:22" ht="37.5">
      <c r="A20" s="102" t="s">
        <v>43</v>
      </c>
      <c r="B20" s="103" t="s">
        <v>44</v>
      </c>
      <c r="C20" s="12" t="s">
        <v>19</v>
      </c>
      <c r="D20" s="12" t="s">
        <v>19</v>
      </c>
      <c r="E20" s="12" t="s">
        <v>19</v>
      </c>
      <c r="F20" s="88">
        <f>SUM(G20:I20)</f>
        <v>268790.59999999998</v>
      </c>
      <c r="G20" s="88">
        <f>SUM(G22:G29)</f>
        <v>205926.2</v>
      </c>
      <c r="H20" s="88">
        <f t="shared" ref="H20:I20" si="11">SUM(H22:H29)</f>
        <v>19758.099999999999</v>
      </c>
      <c r="I20" s="88">
        <f t="shared" si="11"/>
        <v>43106.3</v>
      </c>
      <c r="J20" s="88">
        <f>SUM(K20:M20)</f>
        <v>182507.4</v>
      </c>
      <c r="K20" s="88">
        <f>SUM(K22:K29)</f>
        <v>156109.79999999999</v>
      </c>
      <c r="L20" s="88">
        <f t="shared" ref="L20:M20" si="12">SUM(L22:L29)</f>
        <v>0</v>
      </c>
      <c r="M20" s="88">
        <f t="shared" si="12"/>
        <v>26397.599999999999</v>
      </c>
      <c r="N20" s="88">
        <f>SUM(O20:Q20)</f>
        <v>167301.79999999999</v>
      </c>
      <c r="O20" s="88">
        <f>SUM(O22:O29)</f>
        <v>111731.6</v>
      </c>
      <c r="P20" s="88">
        <f t="shared" ref="P20:Q20" si="13">SUM(P22:P29)</f>
        <v>35381.9</v>
      </c>
      <c r="Q20" s="88">
        <f t="shared" si="13"/>
        <v>20188.3</v>
      </c>
      <c r="R20" s="88">
        <f>SUM(S20:U20)</f>
        <v>315551.8</v>
      </c>
      <c r="S20" s="88">
        <f>SUM(S22:S29)</f>
        <v>82654.8</v>
      </c>
      <c r="T20" s="88">
        <f t="shared" ref="T20:U20" si="14">SUM(T22:T29)</f>
        <v>226897.1</v>
      </c>
      <c r="U20" s="88">
        <f t="shared" si="14"/>
        <v>5999.9</v>
      </c>
      <c r="V20" s="89">
        <f t="shared" si="6"/>
        <v>0.67900000000000005</v>
      </c>
    </row>
    <row r="21" spans="1:22" ht="18.75">
      <c r="A21" s="98"/>
      <c r="B21" s="104" t="s">
        <v>22</v>
      </c>
      <c r="C21" s="13"/>
      <c r="D21" s="13"/>
      <c r="E21" s="13"/>
      <c r="F21" s="88"/>
      <c r="G21" s="90"/>
      <c r="H21" s="90"/>
      <c r="I21" s="90"/>
      <c r="J21" s="88"/>
      <c r="K21" s="90"/>
      <c r="L21" s="90"/>
      <c r="M21" s="90"/>
      <c r="N21" s="88"/>
      <c r="O21" s="90"/>
      <c r="P21" s="90"/>
      <c r="Q21" s="90"/>
      <c r="R21" s="88"/>
      <c r="S21" s="90"/>
      <c r="T21" s="90"/>
      <c r="U21" s="90"/>
      <c r="V21" s="91"/>
    </row>
    <row r="22" spans="1:22" ht="99">
      <c r="A22" s="98" t="s">
        <v>34</v>
      </c>
      <c r="B22" s="105" t="s">
        <v>45</v>
      </c>
      <c r="C22" s="13">
        <v>813</v>
      </c>
      <c r="D22" s="14" t="s">
        <v>46</v>
      </c>
      <c r="E22" s="13" t="s">
        <v>47</v>
      </c>
      <c r="F22" s="88">
        <f>SUM(G22:I22)</f>
        <v>20999.5</v>
      </c>
      <c r="G22" s="90">
        <v>611.1</v>
      </c>
      <c r="H22" s="90">
        <v>19758.099999999999</v>
      </c>
      <c r="I22" s="90">
        <v>630.29999999999995</v>
      </c>
      <c r="J22" s="88">
        <f>SUM(K22:M22)</f>
        <v>0</v>
      </c>
      <c r="K22" s="90"/>
      <c r="L22" s="90"/>
      <c r="M22" s="90"/>
      <c r="N22" s="88">
        <f>SUM(O22:Q22)</f>
        <v>10703</v>
      </c>
      <c r="O22" s="90">
        <v>321.10000000000002</v>
      </c>
      <c r="P22" s="90">
        <v>10381.9</v>
      </c>
      <c r="Q22" s="90"/>
      <c r="R22" s="88">
        <f>SUM(S22:U22)</f>
        <v>6889.4</v>
      </c>
      <c r="S22" s="90">
        <v>206.7</v>
      </c>
      <c r="T22" s="90">
        <v>6682.7</v>
      </c>
      <c r="U22" s="90"/>
      <c r="V22" s="91">
        <f t="shared" si="6"/>
        <v>0</v>
      </c>
    </row>
    <row r="23" spans="1:22" ht="75">
      <c r="A23" s="98"/>
      <c r="B23" s="105" t="s">
        <v>328</v>
      </c>
      <c r="C23" s="13">
        <v>821</v>
      </c>
      <c r="D23" s="14" t="s">
        <v>36</v>
      </c>
      <c r="E23" s="13" t="s">
        <v>327</v>
      </c>
      <c r="F23" s="88">
        <f t="shared" ref="F23:F29" si="15">SUM(G23:I23)</f>
        <v>33564.400000000001</v>
      </c>
      <c r="G23" s="90">
        <v>25122.7</v>
      </c>
      <c r="H23" s="90"/>
      <c r="I23" s="90">
        <v>8441.7000000000007</v>
      </c>
      <c r="J23" s="88">
        <f t="shared" ref="J23:J29" si="16">SUM(K23:M23)</f>
        <v>9610.7000000000007</v>
      </c>
      <c r="K23" s="90">
        <v>8845.7000000000007</v>
      </c>
      <c r="L23" s="90"/>
      <c r="M23" s="90">
        <v>765</v>
      </c>
      <c r="N23" s="88">
        <f t="shared" ref="N23:N29" si="17">SUM(O23:Q23)</f>
        <v>0</v>
      </c>
      <c r="O23" s="90"/>
      <c r="P23" s="90"/>
      <c r="Q23" s="90"/>
      <c r="R23" s="88">
        <f t="shared" ref="R23:R29" si="18">SUM(S23:U23)</f>
        <v>0</v>
      </c>
      <c r="S23" s="90"/>
      <c r="T23" s="90"/>
      <c r="U23" s="90"/>
      <c r="V23" s="91">
        <f t="shared" si="6"/>
        <v>0.28599999999999998</v>
      </c>
    </row>
    <row r="24" spans="1:22" ht="66">
      <c r="A24" s="98"/>
      <c r="B24" s="105" t="s">
        <v>326</v>
      </c>
      <c r="C24" s="13">
        <v>821</v>
      </c>
      <c r="D24" s="14" t="s">
        <v>36</v>
      </c>
      <c r="E24" s="13" t="s">
        <v>325</v>
      </c>
      <c r="F24" s="88">
        <f t="shared" si="15"/>
        <v>98574.399999999994</v>
      </c>
      <c r="G24" s="90">
        <v>79000</v>
      </c>
      <c r="H24" s="90"/>
      <c r="I24" s="90">
        <v>19574.400000000001</v>
      </c>
      <c r="J24" s="88">
        <f t="shared" si="16"/>
        <v>71655.899999999994</v>
      </c>
      <c r="K24" s="90">
        <v>57138.7</v>
      </c>
      <c r="L24" s="90"/>
      <c r="M24" s="90">
        <v>14517.2</v>
      </c>
      <c r="N24" s="88">
        <f t="shared" si="17"/>
        <v>49188.4</v>
      </c>
      <c r="O24" s="90">
        <v>35000</v>
      </c>
      <c r="P24" s="90"/>
      <c r="Q24" s="90">
        <v>14188.4</v>
      </c>
      <c r="R24" s="88">
        <f t="shared" si="18"/>
        <v>0</v>
      </c>
      <c r="S24" s="90"/>
      <c r="T24" s="90"/>
      <c r="U24" s="90"/>
      <c r="V24" s="91">
        <f t="shared" si="6"/>
        <v>0.72699999999999998</v>
      </c>
    </row>
    <row r="25" spans="1:22" ht="99">
      <c r="A25" s="98"/>
      <c r="B25" s="105" t="s">
        <v>48</v>
      </c>
      <c r="C25" s="13">
        <v>813</v>
      </c>
      <c r="D25" s="14" t="s">
        <v>46</v>
      </c>
      <c r="E25" s="13" t="s">
        <v>49</v>
      </c>
      <c r="F25" s="88">
        <f t="shared" si="15"/>
        <v>0</v>
      </c>
      <c r="G25" s="90"/>
      <c r="H25" s="90"/>
      <c r="I25" s="90"/>
      <c r="J25" s="88">
        <f t="shared" si="16"/>
        <v>0</v>
      </c>
      <c r="K25" s="90"/>
      <c r="L25" s="90"/>
      <c r="M25" s="90"/>
      <c r="N25" s="88">
        <f t="shared" si="17"/>
        <v>25773.200000000001</v>
      </c>
      <c r="O25" s="90">
        <v>773.2</v>
      </c>
      <c r="P25" s="90">
        <v>25000</v>
      </c>
      <c r="Q25" s="90"/>
      <c r="R25" s="88">
        <f t="shared" si="18"/>
        <v>44329.9</v>
      </c>
      <c r="S25" s="90">
        <v>1329.9</v>
      </c>
      <c r="T25" s="90">
        <v>43000</v>
      </c>
      <c r="U25" s="90"/>
      <c r="V25" s="91"/>
    </row>
    <row r="26" spans="1:22" ht="93.75">
      <c r="A26" s="98"/>
      <c r="B26" s="105" t="s">
        <v>50</v>
      </c>
      <c r="C26" s="13">
        <v>821</v>
      </c>
      <c r="D26" s="14" t="s">
        <v>36</v>
      </c>
      <c r="E26" s="13" t="s">
        <v>51</v>
      </c>
      <c r="F26" s="88">
        <f t="shared" si="15"/>
        <v>0</v>
      </c>
      <c r="G26" s="90"/>
      <c r="H26" s="90"/>
      <c r="I26" s="90"/>
      <c r="J26" s="88">
        <f t="shared" si="16"/>
        <v>0</v>
      </c>
      <c r="K26" s="90"/>
      <c r="L26" s="90"/>
      <c r="M26" s="90"/>
      <c r="N26" s="88">
        <f t="shared" si="17"/>
        <v>0</v>
      </c>
      <c r="O26" s="90"/>
      <c r="P26" s="90"/>
      <c r="Q26" s="90"/>
      <c r="R26" s="88">
        <f t="shared" si="18"/>
        <v>182695.3</v>
      </c>
      <c r="S26" s="90">
        <v>5480.9</v>
      </c>
      <c r="T26" s="90">
        <v>177214.4</v>
      </c>
      <c r="U26" s="90"/>
      <c r="V26" s="91"/>
    </row>
    <row r="27" spans="1:22" ht="187.5">
      <c r="A27" s="98"/>
      <c r="B27" s="105" t="s">
        <v>52</v>
      </c>
      <c r="C27" s="13">
        <v>813</v>
      </c>
      <c r="D27" s="14" t="s">
        <v>46</v>
      </c>
      <c r="E27" s="13" t="s">
        <v>53</v>
      </c>
      <c r="F27" s="88">
        <f t="shared" si="15"/>
        <v>10014.700000000001</v>
      </c>
      <c r="G27" s="90">
        <v>9000</v>
      </c>
      <c r="H27" s="90"/>
      <c r="I27" s="90">
        <v>1014.7</v>
      </c>
      <c r="J27" s="88">
        <f t="shared" si="16"/>
        <v>9974.9</v>
      </c>
      <c r="K27" s="90">
        <v>9000</v>
      </c>
      <c r="L27" s="90"/>
      <c r="M27" s="90">
        <v>974.9</v>
      </c>
      <c r="N27" s="88">
        <f t="shared" si="17"/>
        <v>9090</v>
      </c>
      <c r="O27" s="90">
        <v>9000</v>
      </c>
      <c r="P27" s="90"/>
      <c r="Q27" s="90">
        <v>90</v>
      </c>
      <c r="R27" s="88">
        <f t="shared" si="18"/>
        <v>9090</v>
      </c>
      <c r="S27" s="90">
        <v>9000</v>
      </c>
      <c r="T27" s="90"/>
      <c r="U27" s="90">
        <v>90</v>
      </c>
      <c r="V27" s="91">
        <f t="shared" si="6"/>
        <v>0.996</v>
      </c>
    </row>
    <row r="28" spans="1:22" ht="99">
      <c r="A28" s="98"/>
      <c r="B28" s="105" t="s">
        <v>54</v>
      </c>
      <c r="C28" s="13">
        <v>813</v>
      </c>
      <c r="D28" s="14" t="s">
        <v>46</v>
      </c>
      <c r="E28" s="13" t="s">
        <v>55</v>
      </c>
      <c r="F28" s="88">
        <f t="shared" si="15"/>
        <v>31425.4</v>
      </c>
      <c r="G28" s="90">
        <v>30000</v>
      </c>
      <c r="H28" s="90"/>
      <c r="I28" s="90">
        <v>1425.4</v>
      </c>
      <c r="J28" s="88">
        <f t="shared" si="16"/>
        <v>28627.7</v>
      </c>
      <c r="K28" s="90">
        <v>28094.6</v>
      </c>
      <c r="L28" s="90"/>
      <c r="M28" s="90">
        <v>533.1</v>
      </c>
      <c r="N28" s="88">
        <f t="shared" si="17"/>
        <v>10000</v>
      </c>
      <c r="O28" s="90">
        <v>10000</v>
      </c>
      <c r="P28" s="90"/>
      <c r="Q28" s="90"/>
      <c r="R28" s="88">
        <f t="shared" si="18"/>
        <v>10000</v>
      </c>
      <c r="S28" s="90">
        <v>10000</v>
      </c>
      <c r="T28" s="90"/>
      <c r="U28" s="90"/>
      <c r="V28" s="91">
        <f t="shared" si="6"/>
        <v>0.91100000000000003</v>
      </c>
    </row>
    <row r="29" spans="1:22" ht="99">
      <c r="A29" s="98"/>
      <c r="B29" s="105" t="s">
        <v>56</v>
      </c>
      <c r="C29" s="13">
        <v>813</v>
      </c>
      <c r="D29" s="14" t="s">
        <v>46</v>
      </c>
      <c r="E29" s="13" t="s">
        <v>57</v>
      </c>
      <c r="F29" s="88">
        <f t="shared" si="15"/>
        <v>74212.2</v>
      </c>
      <c r="G29" s="90">
        <v>62192.4</v>
      </c>
      <c r="H29" s="90"/>
      <c r="I29" s="90">
        <v>12019.8</v>
      </c>
      <c r="J29" s="88">
        <f t="shared" si="16"/>
        <v>62638.2</v>
      </c>
      <c r="K29" s="90">
        <v>53030.8</v>
      </c>
      <c r="L29" s="90"/>
      <c r="M29" s="90">
        <v>9607.4</v>
      </c>
      <c r="N29" s="88">
        <f t="shared" si="17"/>
        <v>62547.199999999997</v>
      </c>
      <c r="O29" s="90">
        <v>56637.3</v>
      </c>
      <c r="P29" s="90"/>
      <c r="Q29" s="90">
        <v>5909.9</v>
      </c>
      <c r="R29" s="88">
        <f t="shared" si="18"/>
        <v>62547.199999999997</v>
      </c>
      <c r="S29" s="90">
        <v>56637.3</v>
      </c>
      <c r="T29" s="90"/>
      <c r="U29" s="90">
        <v>5909.9</v>
      </c>
      <c r="V29" s="91">
        <f t="shared" si="6"/>
        <v>0.84399999999999997</v>
      </c>
    </row>
    <row r="30" spans="1:22" ht="93.75">
      <c r="A30" s="102" t="s">
        <v>58</v>
      </c>
      <c r="B30" s="103" t="s">
        <v>59</v>
      </c>
      <c r="C30" s="12" t="s">
        <v>19</v>
      </c>
      <c r="D30" s="12" t="s">
        <v>19</v>
      </c>
      <c r="E30" s="12" t="s">
        <v>19</v>
      </c>
      <c r="F30" s="88">
        <f>SUM(G30:I30)</f>
        <v>1220692.8</v>
      </c>
      <c r="G30" s="88">
        <f>SUM(G32:G33)</f>
        <v>572787.30000000005</v>
      </c>
      <c r="H30" s="88">
        <f>SUM(H32:H33)</f>
        <v>646684.69999999995</v>
      </c>
      <c r="I30" s="88">
        <f>SUM(I32:I33)</f>
        <v>1220.8</v>
      </c>
      <c r="J30" s="88">
        <f>SUM(K30:M30)</f>
        <v>0</v>
      </c>
      <c r="K30" s="88">
        <f>SUM(K32:K33)</f>
        <v>0</v>
      </c>
      <c r="L30" s="88">
        <f>SUM(L32:L33)</f>
        <v>0</v>
      </c>
      <c r="M30" s="88">
        <f>SUM(M32:M33)</f>
        <v>0</v>
      </c>
      <c r="N30" s="88">
        <f>SUM(O30:Q30)</f>
        <v>613603.1</v>
      </c>
      <c r="O30" s="88">
        <f>SUM(O32:O33)</f>
        <v>339568.5</v>
      </c>
      <c r="P30" s="88">
        <f>SUM(P32:P33)</f>
        <v>274034.59999999998</v>
      </c>
      <c r="Q30" s="88">
        <f>SUM(Q32:Q33)</f>
        <v>0</v>
      </c>
      <c r="R30" s="88">
        <f>SUM(S30:U30)</f>
        <v>1229501.3</v>
      </c>
      <c r="S30" s="88">
        <f>SUM(S32:S33)</f>
        <v>356541</v>
      </c>
      <c r="T30" s="88">
        <f>SUM(T32:T33)</f>
        <v>872960.3</v>
      </c>
      <c r="U30" s="88">
        <f>SUM(U32:U33)</f>
        <v>0</v>
      </c>
      <c r="V30" s="89">
        <f t="shared" si="6"/>
        <v>0</v>
      </c>
    </row>
    <row r="31" spans="1:22" ht="18.75">
      <c r="A31" s="102"/>
      <c r="B31" s="104" t="s">
        <v>22</v>
      </c>
      <c r="C31" s="13"/>
      <c r="D31" s="13"/>
      <c r="E31" s="13"/>
      <c r="F31" s="88"/>
      <c r="G31" s="90"/>
      <c r="H31" s="90"/>
      <c r="I31" s="90"/>
      <c r="J31" s="88"/>
      <c r="K31" s="90"/>
      <c r="L31" s="90"/>
      <c r="M31" s="90"/>
      <c r="N31" s="88"/>
      <c r="O31" s="90"/>
      <c r="P31" s="90"/>
      <c r="Q31" s="90"/>
      <c r="R31" s="88"/>
      <c r="S31" s="90"/>
      <c r="T31" s="90"/>
      <c r="U31" s="90"/>
      <c r="V31" s="91"/>
    </row>
    <row r="32" spans="1:22" ht="112.5">
      <c r="A32" s="102" t="s">
        <v>23</v>
      </c>
      <c r="B32" s="105" t="s">
        <v>60</v>
      </c>
      <c r="C32" s="13">
        <v>821</v>
      </c>
      <c r="D32" s="14" t="s">
        <v>36</v>
      </c>
      <c r="E32" s="13" t="s">
        <v>61</v>
      </c>
      <c r="F32" s="88">
        <f>SUM(G32:I32)</f>
        <v>413521.4</v>
      </c>
      <c r="G32" s="90">
        <v>247570.3</v>
      </c>
      <c r="H32" s="90">
        <v>165537.60000000001</v>
      </c>
      <c r="I32" s="90">
        <v>413.5</v>
      </c>
      <c r="J32" s="88">
        <f>SUM(K32:M32)</f>
        <v>0</v>
      </c>
      <c r="K32" s="90"/>
      <c r="L32" s="90"/>
      <c r="M32" s="90"/>
      <c r="N32" s="88">
        <f>SUM(O32:Q32)</f>
        <v>0</v>
      </c>
      <c r="O32" s="90"/>
      <c r="P32" s="90"/>
      <c r="Q32" s="90"/>
      <c r="R32" s="88">
        <f>SUM(S32:U32)</f>
        <v>0</v>
      </c>
      <c r="S32" s="90"/>
      <c r="T32" s="90"/>
      <c r="U32" s="90"/>
      <c r="V32" s="91">
        <f t="shared" si="6"/>
        <v>0</v>
      </c>
    </row>
    <row r="33" spans="1:22" ht="112.5">
      <c r="A33" s="102" t="s">
        <v>34</v>
      </c>
      <c r="B33" s="105" t="s">
        <v>62</v>
      </c>
      <c r="C33" s="13">
        <v>821</v>
      </c>
      <c r="D33" s="14" t="s">
        <v>36</v>
      </c>
      <c r="E33" s="13" t="s">
        <v>63</v>
      </c>
      <c r="F33" s="88">
        <f>SUM(G33:I33)</f>
        <v>807171.4</v>
      </c>
      <c r="G33" s="90">
        <v>325217</v>
      </c>
      <c r="H33" s="90">
        <v>481147.1</v>
      </c>
      <c r="I33" s="90">
        <v>807.3</v>
      </c>
      <c r="J33" s="88">
        <f>SUM(K33:M33)</f>
        <v>0</v>
      </c>
      <c r="K33" s="90"/>
      <c r="L33" s="90"/>
      <c r="M33" s="90"/>
      <c r="N33" s="88">
        <f>SUM(O33:Q33)</f>
        <v>613603.1</v>
      </c>
      <c r="O33" s="90">
        <f>98303.6+241264.9</f>
        <v>339568.5</v>
      </c>
      <c r="P33" s="90">
        <v>274034.59999999998</v>
      </c>
      <c r="Q33" s="90"/>
      <c r="R33" s="88">
        <f>SUM(S33:U33)</f>
        <v>1229501.3</v>
      </c>
      <c r="S33" s="90">
        <v>356541</v>
      </c>
      <c r="T33" s="90">
        <v>872960.3</v>
      </c>
      <c r="U33" s="90"/>
      <c r="V33" s="91">
        <f t="shared" si="6"/>
        <v>0</v>
      </c>
    </row>
    <row r="34" spans="1:22" ht="56.25">
      <c r="A34" s="102" t="s">
        <v>64</v>
      </c>
      <c r="B34" s="103" t="s">
        <v>65</v>
      </c>
      <c r="C34" s="12" t="s">
        <v>19</v>
      </c>
      <c r="D34" s="12" t="s">
        <v>19</v>
      </c>
      <c r="E34" s="12" t="s">
        <v>19</v>
      </c>
      <c r="F34" s="88">
        <f>SUM(G34:I34)</f>
        <v>1145620.7</v>
      </c>
      <c r="G34" s="88">
        <f>SUM(G36:G37)</f>
        <v>776166.8</v>
      </c>
      <c r="H34" s="88">
        <f>SUM(H36:H37)</f>
        <v>369453.9</v>
      </c>
      <c r="I34" s="88">
        <f>SUM(I36:I37)</f>
        <v>0</v>
      </c>
      <c r="J34" s="88">
        <f>SUM(K34:M34)</f>
        <v>963030</v>
      </c>
      <c r="K34" s="88">
        <f>SUM(K36:K37)</f>
        <v>618884.69999999995</v>
      </c>
      <c r="L34" s="88">
        <f>SUM(L36:L37)</f>
        <v>344145.3</v>
      </c>
      <c r="M34" s="88">
        <f>SUM(M36:M37)</f>
        <v>0</v>
      </c>
      <c r="N34" s="88">
        <f>SUM(O34:Q34)</f>
        <v>1064287.3</v>
      </c>
      <c r="O34" s="88">
        <f>SUM(O36:O37)</f>
        <v>776166.8</v>
      </c>
      <c r="P34" s="88">
        <f>SUM(P36:P37)</f>
        <v>288120.5</v>
      </c>
      <c r="Q34" s="88">
        <f>SUM(Q36:Q37)</f>
        <v>0</v>
      </c>
      <c r="R34" s="88">
        <f>SUM(S34:U34)</f>
        <v>1066542.6000000001</v>
      </c>
      <c r="S34" s="88">
        <f>SUM(S36:S37)</f>
        <v>776166.8</v>
      </c>
      <c r="T34" s="88">
        <f>SUM(T36:T37)</f>
        <v>290375.8</v>
      </c>
      <c r="U34" s="88">
        <f>SUM(U36:U37)</f>
        <v>0</v>
      </c>
      <c r="V34" s="89">
        <f t="shared" si="6"/>
        <v>0.84099999999999997</v>
      </c>
    </row>
    <row r="35" spans="1:22" ht="18.75">
      <c r="A35" s="102"/>
      <c r="B35" s="104" t="s">
        <v>22</v>
      </c>
      <c r="C35" s="13"/>
      <c r="D35" s="14"/>
      <c r="E35" s="13"/>
      <c r="F35" s="88"/>
      <c r="G35" s="90"/>
      <c r="H35" s="90"/>
      <c r="I35" s="90"/>
      <c r="J35" s="88"/>
      <c r="K35" s="90"/>
      <c r="L35" s="90"/>
      <c r="M35" s="90"/>
      <c r="N35" s="88"/>
      <c r="O35" s="90"/>
      <c r="P35" s="90"/>
      <c r="Q35" s="90"/>
      <c r="R35" s="88"/>
      <c r="S35" s="90"/>
      <c r="T35" s="90"/>
      <c r="U35" s="90"/>
      <c r="V35" s="91"/>
    </row>
    <row r="36" spans="1:22" ht="66">
      <c r="A36" s="102" t="s">
        <v>66</v>
      </c>
      <c r="B36" s="105" t="s">
        <v>67</v>
      </c>
      <c r="C36" s="13">
        <v>809</v>
      </c>
      <c r="D36" s="14" t="s">
        <v>39</v>
      </c>
      <c r="E36" s="13" t="s">
        <v>68</v>
      </c>
      <c r="F36" s="88">
        <f>SUM(G36:I36)</f>
        <v>369453.9</v>
      </c>
      <c r="G36" s="90"/>
      <c r="H36" s="90">
        <v>369453.9</v>
      </c>
      <c r="I36" s="90"/>
      <c r="J36" s="88">
        <f>SUM(K36:M36)</f>
        <v>344145.3</v>
      </c>
      <c r="K36" s="90"/>
      <c r="L36" s="90">
        <v>344145.3</v>
      </c>
      <c r="M36" s="90"/>
      <c r="N36" s="88">
        <f>SUM(O36:Q36)</f>
        <v>288120.5</v>
      </c>
      <c r="O36" s="90"/>
      <c r="P36" s="90">
        <v>288120.5</v>
      </c>
      <c r="Q36" s="90"/>
      <c r="R36" s="88">
        <f>SUM(S36:U36)</f>
        <v>290375.8</v>
      </c>
      <c r="S36" s="90"/>
      <c r="T36" s="90">
        <v>290375.8</v>
      </c>
      <c r="U36" s="90"/>
      <c r="V36" s="91">
        <f t="shared" si="6"/>
        <v>0.93100000000000005</v>
      </c>
    </row>
    <row r="37" spans="1:22" ht="112.5">
      <c r="A37" s="102"/>
      <c r="B37" s="105" t="s">
        <v>69</v>
      </c>
      <c r="C37" s="13">
        <v>809</v>
      </c>
      <c r="D37" s="14" t="s">
        <v>39</v>
      </c>
      <c r="E37" s="13" t="s">
        <v>70</v>
      </c>
      <c r="F37" s="88">
        <f>SUM(G37:I37)</f>
        <v>776166.8</v>
      </c>
      <c r="G37" s="90">
        <v>776166.8</v>
      </c>
      <c r="H37" s="90"/>
      <c r="I37" s="90"/>
      <c r="J37" s="88">
        <f>SUM(K37:M37)</f>
        <v>618884.69999999995</v>
      </c>
      <c r="K37" s="90">
        <v>618884.69999999995</v>
      </c>
      <c r="L37" s="90"/>
      <c r="M37" s="90"/>
      <c r="N37" s="88">
        <f>SUM(O37:Q37)</f>
        <v>776166.8</v>
      </c>
      <c r="O37" s="90">
        <v>776166.8</v>
      </c>
      <c r="P37" s="90"/>
      <c r="Q37" s="90"/>
      <c r="R37" s="88">
        <f>SUM(S37:U37)</f>
        <v>776166.8</v>
      </c>
      <c r="S37" s="90">
        <v>776166.8</v>
      </c>
      <c r="T37" s="90"/>
      <c r="U37" s="90"/>
      <c r="V37" s="91">
        <f t="shared" si="6"/>
        <v>0.79700000000000004</v>
      </c>
    </row>
    <row r="38" spans="1:22" ht="37.5">
      <c r="A38" s="102" t="s">
        <v>71</v>
      </c>
      <c r="B38" s="103" t="s">
        <v>72</v>
      </c>
      <c r="C38" s="12" t="s">
        <v>19</v>
      </c>
      <c r="D38" s="12" t="s">
        <v>19</v>
      </c>
      <c r="E38" s="12" t="s">
        <v>19</v>
      </c>
      <c r="F38" s="88">
        <f>F40</f>
        <v>3700</v>
      </c>
      <c r="G38" s="88">
        <f>G40</f>
        <v>3700</v>
      </c>
      <c r="H38" s="88">
        <f t="shared" ref="H38:U38" si="19">H40</f>
        <v>0</v>
      </c>
      <c r="I38" s="88">
        <f t="shared" si="19"/>
        <v>0</v>
      </c>
      <c r="J38" s="88">
        <f>J40</f>
        <v>3519.6</v>
      </c>
      <c r="K38" s="88">
        <f t="shared" si="19"/>
        <v>3519.6</v>
      </c>
      <c r="L38" s="88">
        <f t="shared" si="19"/>
        <v>0</v>
      </c>
      <c r="M38" s="88">
        <f t="shared" si="19"/>
        <v>0</v>
      </c>
      <c r="N38" s="88">
        <f>N40</f>
        <v>3700</v>
      </c>
      <c r="O38" s="88">
        <f t="shared" si="19"/>
        <v>3700</v>
      </c>
      <c r="P38" s="88">
        <f t="shared" si="19"/>
        <v>0</v>
      </c>
      <c r="Q38" s="88">
        <f t="shared" si="19"/>
        <v>0</v>
      </c>
      <c r="R38" s="88">
        <f>R40</f>
        <v>3700</v>
      </c>
      <c r="S38" s="88">
        <f t="shared" si="19"/>
        <v>3700</v>
      </c>
      <c r="T38" s="88">
        <f t="shared" si="19"/>
        <v>0</v>
      </c>
      <c r="U38" s="88">
        <f t="shared" si="19"/>
        <v>0</v>
      </c>
      <c r="V38" s="89">
        <f t="shared" si="6"/>
        <v>0.95099999999999996</v>
      </c>
    </row>
    <row r="39" spans="1:22" ht="18.75">
      <c r="A39" s="102"/>
      <c r="B39" s="105" t="s">
        <v>22</v>
      </c>
      <c r="C39" s="13"/>
      <c r="D39" s="14"/>
      <c r="E39" s="13"/>
      <c r="F39" s="88"/>
      <c r="G39" s="90"/>
      <c r="H39" s="90"/>
      <c r="I39" s="90"/>
      <c r="J39" s="88"/>
      <c r="K39" s="90"/>
      <c r="L39" s="90"/>
      <c r="M39" s="90"/>
      <c r="N39" s="88"/>
      <c r="O39" s="90"/>
      <c r="P39" s="90"/>
      <c r="Q39" s="90"/>
      <c r="R39" s="88"/>
      <c r="S39" s="90"/>
      <c r="T39" s="90"/>
      <c r="U39" s="90"/>
      <c r="V39" s="91"/>
    </row>
    <row r="40" spans="1:22" ht="131.25">
      <c r="A40" s="102"/>
      <c r="B40" s="105" t="s">
        <v>73</v>
      </c>
      <c r="C40" s="13">
        <v>811</v>
      </c>
      <c r="D40" s="14" t="s">
        <v>30</v>
      </c>
      <c r="E40" s="13" t="s">
        <v>74</v>
      </c>
      <c r="F40" s="88">
        <f>G40</f>
        <v>3700</v>
      </c>
      <c r="G40" s="90">
        <v>3700</v>
      </c>
      <c r="H40" s="90"/>
      <c r="I40" s="90"/>
      <c r="J40" s="88">
        <f>K40</f>
        <v>3519.6</v>
      </c>
      <c r="K40" s="90">
        <v>3519.6</v>
      </c>
      <c r="L40" s="90"/>
      <c r="M40" s="90"/>
      <c r="N40" s="88">
        <f>O40</f>
        <v>3700</v>
      </c>
      <c r="O40" s="90">
        <v>3700</v>
      </c>
      <c r="P40" s="90"/>
      <c r="Q40" s="90"/>
      <c r="R40" s="88">
        <f>S40</f>
        <v>3700</v>
      </c>
      <c r="S40" s="90">
        <v>3700</v>
      </c>
      <c r="T40" s="90"/>
      <c r="U40" s="90"/>
      <c r="V40" s="91">
        <f t="shared" si="6"/>
        <v>0.95099999999999996</v>
      </c>
    </row>
    <row r="41" spans="1:22" ht="18.75">
      <c r="A41" s="106" t="s">
        <v>75</v>
      </c>
      <c r="B41" s="107" t="s">
        <v>76</v>
      </c>
      <c r="C41" s="32" t="s">
        <v>19</v>
      </c>
      <c r="D41" s="32" t="s">
        <v>19</v>
      </c>
      <c r="E41" s="32" t="s">
        <v>19</v>
      </c>
      <c r="F41" s="92">
        <f t="shared" ref="F41:U41" si="20">F42+F50+F54+F58+F62</f>
        <v>1216123.5</v>
      </c>
      <c r="G41" s="92">
        <f>G42+G50+G54+G58+G62</f>
        <v>266674</v>
      </c>
      <c r="H41" s="92">
        <f t="shared" si="20"/>
        <v>949449.5</v>
      </c>
      <c r="I41" s="92">
        <f t="shared" si="20"/>
        <v>0</v>
      </c>
      <c r="J41" s="92">
        <f t="shared" ref="J41" si="21">J42+J50+J54+J58+J62</f>
        <v>569086.80000000005</v>
      </c>
      <c r="K41" s="92">
        <f t="shared" si="20"/>
        <v>166792.29999999999</v>
      </c>
      <c r="L41" s="92">
        <f t="shared" si="20"/>
        <v>402294.5</v>
      </c>
      <c r="M41" s="92">
        <f t="shared" si="20"/>
        <v>0</v>
      </c>
      <c r="N41" s="92">
        <f t="shared" ref="N41" si="22">N42+N50+N54+N58+N62</f>
        <v>2352589.6</v>
      </c>
      <c r="O41" s="92">
        <f t="shared" si="20"/>
        <v>344334.8</v>
      </c>
      <c r="P41" s="92">
        <f t="shared" si="20"/>
        <v>2008254.8</v>
      </c>
      <c r="Q41" s="92">
        <f t="shared" si="20"/>
        <v>0</v>
      </c>
      <c r="R41" s="92">
        <f t="shared" ref="R41" si="23">R42+R50+R54+R58+R62</f>
        <v>3043130.5</v>
      </c>
      <c r="S41" s="92">
        <f>S42+S50+S54+S58+S62</f>
        <v>629368.4</v>
      </c>
      <c r="T41" s="92">
        <f t="shared" si="20"/>
        <v>2413762.1</v>
      </c>
      <c r="U41" s="92">
        <f t="shared" si="20"/>
        <v>0</v>
      </c>
      <c r="V41" s="93">
        <f t="shared" si="6"/>
        <v>0.46800000000000003</v>
      </c>
    </row>
    <row r="42" spans="1:22" ht="56.25">
      <c r="A42" s="102" t="s">
        <v>77</v>
      </c>
      <c r="B42" s="103" t="s">
        <v>78</v>
      </c>
      <c r="C42" s="12" t="s">
        <v>19</v>
      </c>
      <c r="D42" s="12" t="s">
        <v>19</v>
      </c>
      <c r="E42" s="12" t="s">
        <v>19</v>
      </c>
      <c r="F42" s="88">
        <f>SUM(G42:I42)</f>
        <v>282225.8</v>
      </c>
      <c r="G42" s="88">
        <f>SUM(G44:G49)</f>
        <v>135045</v>
      </c>
      <c r="H42" s="88">
        <f t="shared" ref="H42:I42" si="24">SUM(H44:H49)</f>
        <v>147180.79999999999</v>
      </c>
      <c r="I42" s="88">
        <f t="shared" si="24"/>
        <v>0</v>
      </c>
      <c r="J42" s="88">
        <f>SUM(K42:M42)</f>
        <v>273261.59999999998</v>
      </c>
      <c r="K42" s="88">
        <f>SUM(K44:K49)</f>
        <v>134665</v>
      </c>
      <c r="L42" s="88">
        <f t="shared" ref="L42:M42" si="25">SUM(L44:L49)</f>
        <v>138596.6</v>
      </c>
      <c r="M42" s="88">
        <f t="shared" si="25"/>
        <v>0</v>
      </c>
      <c r="N42" s="88">
        <f>SUM(O42:Q42)</f>
        <v>198221.5</v>
      </c>
      <c r="O42" s="88">
        <f>SUM(O44:O49)</f>
        <v>90100</v>
      </c>
      <c r="P42" s="88">
        <f t="shared" ref="P42:Q42" si="26">SUM(P44:P49)</f>
        <v>108121.5</v>
      </c>
      <c r="Q42" s="88">
        <f t="shared" si="26"/>
        <v>0</v>
      </c>
      <c r="R42" s="88">
        <f>SUM(S42:U42)</f>
        <v>263859.3</v>
      </c>
      <c r="S42" s="88">
        <f>SUM(S44:S49)</f>
        <v>96000</v>
      </c>
      <c r="T42" s="88">
        <f t="shared" ref="T42:U42" si="27">SUM(T44:T49)</f>
        <v>167859.3</v>
      </c>
      <c r="U42" s="88">
        <f t="shared" si="27"/>
        <v>0</v>
      </c>
      <c r="V42" s="89">
        <f t="shared" si="6"/>
        <v>0.96799999999999997</v>
      </c>
    </row>
    <row r="43" spans="1:22" ht="18.75">
      <c r="A43" s="98"/>
      <c r="B43" s="104" t="s">
        <v>22</v>
      </c>
      <c r="C43" s="13"/>
      <c r="D43" s="13"/>
      <c r="E43" s="13"/>
      <c r="F43" s="88"/>
      <c r="G43" s="90"/>
      <c r="H43" s="90"/>
      <c r="I43" s="90"/>
      <c r="J43" s="88"/>
      <c r="K43" s="90"/>
      <c r="L43" s="90"/>
      <c r="M43" s="90"/>
      <c r="N43" s="88"/>
      <c r="O43" s="90"/>
      <c r="P43" s="90"/>
      <c r="Q43" s="90"/>
      <c r="R43" s="88"/>
      <c r="S43" s="90"/>
      <c r="T43" s="90"/>
      <c r="U43" s="90"/>
      <c r="V43" s="91"/>
    </row>
    <row r="44" spans="1:22" ht="112.5">
      <c r="A44" s="98" t="s">
        <v>23</v>
      </c>
      <c r="B44" s="105" t="s">
        <v>79</v>
      </c>
      <c r="C44" s="13">
        <v>811</v>
      </c>
      <c r="D44" s="14" t="s">
        <v>30</v>
      </c>
      <c r="E44" s="13" t="s">
        <v>80</v>
      </c>
      <c r="F44" s="88">
        <f>SUM(G44:I44)</f>
        <v>0</v>
      </c>
      <c r="G44" s="90"/>
      <c r="H44" s="90"/>
      <c r="I44" s="90"/>
      <c r="J44" s="88">
        <f>SUM(K44:M44)</f>
        <v>0</v>
      </c>
      <c r="K44" s="90"/>
      <c r="L44" s="90"/>
      <c r="M44" s="90"/>
      <c r="N44" s="88">
        <f>SUM(O44:Q44)</f>
        <v>0</v>
      </c>
      <c r="O44" s="90"/>
      <c r="P44" s="90"/>
      <c r="Q44" s="90"/>
      <c r="R44" s="88">
        <f>SUM(S44:U44)</f>
        <v>65569</v>
      </c>
      <c r="S44" s="90"/>
      <c r="T44" s="90">
        <v>65569</v>
      </c>
      <c r="U44" s="90"/>
      <c r="V44" s="91"/>
    </row>
    <row r="45" spans="1:22" ht="93.75">
      <c r="A45" s="98" t="s">
        <v>23</v>
      </c>
      <c r="B45" s="105" t="s">
        <v>81</v>
      </c>
      <c r="C45" s="13">
        <v>811</v>
      </c>
      <c r="D45" s="14" t="s">
        <v>30</v>
      </c>
      <c r="E45" s="13" t="s">
        <v>82</v>
      </c>
      <c r="F45" s="88">
        <f t="shared" ref="F45:F49" si="28">SUM(G45:I45)</f>
        <v>21521</v>
      </c>
      <c r="G45" s="90"/>
      <c r="H45" s="90">
        <v>21521</v>
      </c>
      <c r="I45" s="90"/>
      <c r="J45" s="88">
        <f t="shared" ref="J45:J49" si="29">SUM(K45:M45)</f>
        <v>12936.8</v>
      </c>
      <c r="K45" s="90"/>
      <c r="L45" s="90">
        <v>12936.8</v>
      </c>
      <c r="M45" s="90"/>
      <c r="N45" s="88">
        <f t="shared" ref="N45:N49" si="30">SUM(O45:Q45)</f>
        <v>0</v>
      </c>
      <c r="O45" s="90"/>
      <c r="P45" s="90"/>
      <c r="Q45" s="90"/>
      <c r="R45" s="88">
        <f t="shared" ref="R45:R49" si="31">SUM(S45:U45)</f>
        <v>0</v>
      </c>
      <c r="S45" s="90"/>
      <c r="T45" s="90"/>
      <c r="U45" s="90"/>
      <c r="V45" s="91">
        <f t="shared" si="6"/>
        <v>0.60099999999999998</v>
      </c>
    </row>
    <row r="46" spans="1:22" ht="93.75">
      <c r="A46" s="98" t="s">
        <v>34</v>
      </c>
      <c r="B46" s="105" t="s">
        <v>83</v>
      </c>
      <c r="C46" s="13">
        <v>811</v>
      </c>
      <c r="D46" s="14" t="s">
        <v>30</v>
      </c>
      <c r="E46" s="13" t="s">
        <v>84</v>
      </c>
      <c r="F46" s="88">
        <f t="shared" si="28"/>
        <v>150000</v>
      </c>
      <c r="G46" s="90">
        <v>24340.2</v>
      </c>
      <c r="H46" s="90">
        <v>125659.8</v>
      </c>
      <c r="I46" s="90"/>
      <c r="J46" s="88">
        <f t="shared" si="29"/>
        <v>150000</v>
      </c>
      <c r="K46" s="90">
        <f>17286.95+3786.25+3267</f>
        <v>24340.2</v>
      </c>
      <c r="L46" s="90">
        <f>89246.38+19547.08+16866.34</f>
        <v>125659.8</v>
      </c>
      <c r="M46" s="90"/>
      <c r="N46" s="88">
        <f t="shared" si="30"/>
        <v>150000</v>
      </c>
      <c r="O46" s="90">
        <v>41878.5</v>
      </c>
      <c r="P46" s="90">
        <v>108121.5</v>
      </c>
      <c r="Q46" s="90"/>
      <c r="R46" s="88">
        <f t="shared" si="31"/>
        <v>150000</v>
      </c>
      <c r="S46" s="90">
        <v>47709.7</v>
      </c>
      <c r="T46" s="90">
        <v>102290.3</v>
      </c>
      <c r="U46" s="90"/>
      <c r="V46" s="91">
        <f t="shared" si="6"/>
        <v>1</v>
      </c>
    </row>
    <row r="47" spans="1:22" ht="56.25">
      <c r="A47" s="98"/>
      <c r="B47" s="105" t="s">
        <v>85</v>
      </c>
      <c r="C47" s="13">
        <v>811</v>
      </c>
      <c r="D47" s="14" t="s">
        <v>30</v>
      </c>
      <c r="E47" s="13" t="s">
        <v>86</v>
      </c>
      <c r="F47" s="88">
        <f t="shared" si="28"/>
        <v>6000</v>
      </c>
      <c r="G47" s="90">
        <v>6000</v>
      </c>
      <c r="H47" s="90"/>
      <c r="I47" s="90"/>
      <c r="J47" s="88">
        <f t="shared" si="29"/>
        <v>6000</v>
      </c>
      <c r="K47" s="90">
        <v>6000</v>
      </c>
      <c r="L47" s="90"/>
      <c r="M47" s="90"/>
      <c r="N47" s="88">
        <f t="shared" si="30"/>
        <v>6000</v>
      </c>
      <c r="O47" s="90">
        <v>6000</v>
      </c>
      <c r="P47" s="90"/>
      <c r="Q47" s="90"/>
      <c r="R47" s="88">
        <f t="shared" si="31"/>
        <v>6000</v>
      </c>
      <c r="S47" s="90">
        <v>6000</v>
      </c>
      <c r="T47" s="90"/>
      <c r="U47" s="90"/>
      <c r="V47" s="91">
        <f t="shared" si="6"/>
        <v>1</v>
      </c>
    </row>
    <row r="48" spans="1:22" ht="49.5">
      <c r="A48" s="98"/>
      <c r="B48" s="105" t="s">
        <v>87</v>
      </c>
      <c r="C48" s="13">
        <v>811</v>
      </c>
      <c r="D48" s="14" t="s">
        <v>30</v>
      </c>
      <c r="E48" s="13" t="s">
        <v>88</v>
      </c>
      <c r="F48" s="88">
        <f t="shared" si="28"/>
        <v>102804.8</v>
      </c>
      <c r="G48" s="90">
        <f>52059.8+50745</f>
        <v>102804.8</v>
      </c>
      <c r="H48" s="90"/>
      <c r="I48" s="90"/>
      <c r="J48" s="88">
        <f t="shared" si="29"/>
        <v>102804.8</v>
      </c>
      <c r="K48" s="90">
        <f>52059.8+50745</f>
        <v>102804.8</v>
      </c>
      <c r="L48" s="90"/>
      <c r="M48" s="90"/>
      <c r="N48" s="88">
        <f t="shared" si="30"/>
        <v>40321.5</v>
      </c>
      <c r="O48" s="90">
        <v>40321.5</v>
      </c>
      <c r="P48" s="90"/>
      <c r="Q48" s="90"/>
      <c r="R48" s="88">
        <f t="shared" si="31"/>
        <v>40390.300000000003</v>
      </c>
      <c r="S48" s="90">
        <v>40390.300000000003</v>
      </c>
      <c r="T48" s="90"/>
      <c r="U48" s="90"/>
      <c r="V48" s="91">
        <f t="shared" si="6"/>
        <v>1</v>
      </c>
    </row>
    <row r="49" spans="1:22" ht="93.75">
      <c r="A49" s="98"/>
      <c r="B49" s="105" t="s">
        <v>89</v>
      </c>
      <c r="C49" s="13">
        <v>811</v>
      </c>
      <c r="D49" s="14" t="s">
        <v>30</v>
      </c>
      <c r="E49" s="13" t="s">
        <v>90</v>
      </c>
      <c r="F49" s="88">
        <f t="shared" si="28"/>
        <v>1900</v>
      </c>
      <c r="G49" s="90">
        <v>1900</v>
      </c>
      <c r="H49" s="90"/>
      <c r="I49" s="90"/>
      <c r="J49" s="88">
        <f t="shared" si="29"/>
        <v>1520</v>
      </c>
      <c r="K49" s="90">
        <v>1520</v>
      </c>
      <c r="L49" s="90"/>
      <c r="M49" s="90"/>
      <c r="N49" s="88">
        <f t="shared" si="30"/>
        <v>1900</v>
      </c>
      <c r="O49" s="90">
        <v>1900</v>
      </c>
      <c r="P49" s="90"/>
      <c r="Q49" s="90"/>
      <c r="R49" s="88">
        <f t="shared" si="31"/>
        <v>1900</v>
      </c>
      <c r="S49" s="90">
        <v>1900</v>
      </c>
      <c r="T49" s="90"/>
      <c r="U49" s="90"/>
      <c r="V49" s="91">
        <f t="shared" si="6"/>
        <v>0.8</v>
      </c>
    </row>
    <row r="50" spans="1:22" ht="56.25">
      <c r="A50" s="102" t="s">
        <v>91</v>
      </c>
      <c r="B50" s="103" t="s">
        <v>92</v>
      </c>
      <c r="C50" s="12" t="s">
        <v>19</v>
      </c>
      <c r="D50" s="12" t="s">
        <v>19</v>
      </c>
      <c r="E50" s="12" t="s">
        <v>19</v>
      </c>
      <c r="F50" s="88">
        <f>SUM(G50:I50)</f>
        <v>80052.5</v>
      </c>
      <c r="G50" s="88">
        <f>SUM(G52:G53)</f>
        <v>5500</v>
      </c>
      <c r="H50" s="88">
        <f t="shared" ref="H50:I50" si="32">SUM(H52:H53)</f>
        <v>74552.5</v>
      </c>
      <c r="I50" s="88">
        <f t="shared" si="32"/>
        <v>0</v>
      </c>
      <c r="J50" s="88">
        <f>SUM(K50:M50)</f>
        <v>11203.5</v>
      </c>
      <c r="K50" s="88">
        <f>SUM(K52:K53)</f>
        <v>4686.5</v>
      </c>
      <c r="L50" s="88">
        <f t="shared" ref="L50:M50" si="33">SUM(L52:L53)</f>
        <v>6517</v>
      </c>
      <c r="M50" s="88">
        <f t="shared" si="33"/>
        <v>0</v>
      </c>
      <c r="N50" s="88">
        <f>SUM(O50:Q50)</f>
        <v>90539.4</v>
      </c>
      <c r="O50" s="88">
        <f>SUM(O52:O53)</f>
        <v>5500</v>
      </c>
      <c r="P50" s="88">
        <f t="shared" ref="P50:Q50" si="34">SUM(P52:P53)</f>
        <v>85039.4</v>
      </c>
      <c r="Q50" s="88">
        <f t="shared" si="34"/>
        <v>0</v>
      </c>
      <c r="R50" s="88">
        <f>SUM(S50:U50)</f>
        <v>71706.899999999994</v>
      </c>
      <c r="S50" s="88">
        <f>SUM(S52:S53)</f>
        <v>5500</v>
      </c>
      <c r="T50" s="88">
        <f t="shared" ref="T50:U50" si="35">SUM(T52:T53)</f>
        <v>66206.899999999994</v>
      </c>
      <c r="U50" s="88">
        <f t="shared" si="35"/>
        <v>0</v>
      </c>
      <c r="V50" s="89">
        <f t="shared" si="6"/>
        <v>0.14000000000000001</v>
      </c>
    </row>
    <row r="51" spans="1:22" ht="18.75">
      <c r="A51" s="98"/>
      <c r="B51" s="104" t="s">
        <v>22</v>
      </c>
      <c r="C51" s="13"/>
      <c r="D51" s="13"/>
      <c r="E51" s="13"/>
      <c r="F51" s="88"/>
      <c r="G51" s="90"/>
      <c r="H51" s="90"/>
      <c r="I51" s="90"/>
      <c r="J51" s="88"/>
      <c r="K51" s="90"/>
      <c r="L51" s="90"/>
      <c r="M51" s="90"/>
      <c r="N51" s="88"/>
      <c r="O51" s="90"/>
      <c r="P51" s="90"/>
      <c r="Q51" s="90"/>
      <c r="R51" s="88"/>
      <c r="S51" s="90"/>
      <c r="T51" s="90"/>
      <c r="U51" s="90"/>
      <c r="V51" s="91"/>
    </row>
    <row r="52" spans="1:22" s="17" customFormat="1" ht="56.25">
      <c r="A52" s="108" t="s">
        <v>23</v>
      </c>
      <c r="B52" s="109" t="s">
        <v>93</v>
      </c>
      <c r="C52" s="15">
        <v>811</v>
      </c>
      <c r="D52" s="16" t="s">
        <v>30</v>
      </c>
      <c r="E52" s="15" t="s">
        <v>94</v>
      </c>
      <c r="F52" s="94">
        <f t="shared" ref="F52:F53" si="36">SUM(G52:I52)</f>
        <v>74552.5</v>
      </c>
      <c r="G52" s="95"/>
      <c r="H52" s="95">
        <v>74552.5</v>
      </c>
      <c r="I52" s="95"/>
      <c r="J52" s="94">
        <f t="shared" ref="J52:J53" si="37">SUM(K52:M52)</f>
        <v>6517</v>
      </c>
      <c r="K52" s="95"/>
      <c r="L52" s="95">
        <v>6517</v>
      </c>
      <c r="M52" s="95"/>
      <c r="N52" s="94">
        <f t="shared" ref="N52:N53" si="38">SUM(O52:Q52)</f>
        <v>85039.4</v>
      </c>
      <c r="O52" s="95"/>
      <c r="P52" s="95">
        <v>85039.4</v>
      </c>
      <c r="Q52" s="95"/>
      <c r="R52" s="94">
        <f t="shared" ref="R52:R53" si="39">SUM(S52:U52)</f>
        <v>66206.899999999994</v>
      </c>
      <c r="S52" s="95"/>
      <c r="T52" s="95">
        <v>66206.899999999994</v>
      </c>
      <c r="U52" s="95"/>
      <c r="V52" s="96">
        <f t="shared" si="6"/>
        <v>8.6999999999999994E-2</v>
      </c>
    </row>
    <row r="53" spans="1:22" s="17" customFormat="1" ht="75">
      <c r="A53" s="108"/>
      <c r="B53" s="109" t="s">
        <v>95</v>
      </c>
      <c r="C53" s="15">
        <v>811</v>
      </c>
      <c r="D53" s="16" t="s">
        <v>30</v>
      </c>
      <c r="E53" s="15" t="s">
        <v>96</v>
      </c>
      <c r="F53" s="94">
        <f t="shared" si="36"/>
        <v>5500</v>
      </c>
      <c r="G53" s="95">
        <v>5500</v>
      </c>
      <c r="H53" s="95"/>
      <c r="I53" s="95"/>
      <c r="J53" s="94">
        <f t="shared" si="37"/>
        <v>4686.5</v>
      </c>
      <c r="K53" s="95">
        <v>4686.5</v>
      </c>
      <c r="L53" s="95"/>
      <c r="M53" s="95"/>
      <c r="N53" s="94">
        <f t="shared" si="38"/>
        <v>5500</v>
      </c>
      <c r="O53" s="95">
        <v>5500</v>
      </c>
      <c r="P53" s="95"/>
      <c r="Q53" s="95"/>
      <c r="R53" s="94">
        <f t="shared" si="39"/>
        <v>5500</v>
      </c>
      <c r="S53" s="95">
        <v>5500</v>
      </c>
      <c r="T53" s="95"/>
      <c r="U53" s="95"/>
      <c r="V53" s="96">
        <f t="shared" si="6"/>
        <v>0.85199999999999998</v>
      </c>
    </row>
    <row r="54" spans="1:22" ht="93.75">
      <c r="A54" s="102" t="s">
        <v>97</v>
      </c>
      <c r="B54" s="103" t="s">
        <v>98</v>
      </c>
      <c r="C54" s="12" t="s">
        <v>19</v>
      </c>
      <c r="D54" s="12" t="s">
        <v>19</v>
      </c>
      <c r="E54" s="12" t="s">
        <v>19</v>
      </c>
      <c r="F54" s="88">
        <f>SUM(G54:I54)</f>
        <v>106204.4</v>
      </c>
      <c r="G54" s="88">
        <f>SUM(G56:G57)</f>
        <v>20129.8</v>
      </c>
      <c r="H54" s="88">
        <f t="shared" ref="H54:I54" si="40">SUM(H56:H57)</f>
        <v>86074.6</v>
      </c>
      <c r="I54" s="88">
        <f t="shared" si="40"/>
        <v>0</v>
      </c>
      <c r="J54" s="88">
        <f>SUM(K54:M54)</f>
        <v>41889.300000000003</v>
      </c>
      <c r="K54" s="88">
        <f>SUM(K56:K57)</f>
        <v>8905.2000000000007</v>
      </c>
      <c r="L54" s="88">
        <f t="shared" ref="L54:M54" si="41">SUM(L56:L57)</f>
        <v>32984.1</v>
      </c>
      <c r="M54" s="88">
        <f t="shared" si="41"/>
        <v>0</v>
      </c>
      <c r="N54" s="88">
        <f>SUM(O54:Q54)</f>
        <v>107658.4</v>
      </c>
      <c r="O54" s="88">
        <f>SUM(O56:O57)</f>
        <v>20377</v>
      </c>
      <c r="P54" s="88">
        <f t="shared" ref="P54:Q54" si="42">SUM(P56:P57)</f>
        <v>87281.4</v>
      </c>
      <c r="Q54" s="88">
        <f t="shared" si="42"/>
        <v>0</v>
      </c>
      <c r="R54" s="88">
        <f>SUM(S54:U54)</f>
        <v>2500</v>
      </c>
      <c r="S54" s="88">
        <f>SUM(S56:S57)</f>
        <v>2500</v>
      </c>
      <c r="T54" s="88">
        <f t="shared" ref="T54:U54" si="43">SUM(T56:T57)</f>
        <v>0</v>
      </c>
      <c r="U54" s="88">
        <f t="shared" si="43"/>
        <v>0</v>
      </c>
      <c r="V54" s="89">
        <f t="shared" si="6"/>
        <v>0.39400000000000002</v>
      </c>
    </row>
    <row r="55" spans="1:22" ht="18.75">
      <c r="A55" s="98"/>
      <c r="B55" s="104" t="s">
        <v>22</v>
      </c>
      <c r="C55" s="13"/>
      <c r="D55" s="13"/>
      <c r="E55" s="13"/>
      <c r="F55" s="88"/>
      <c r="G55" s="90"/>
      <c r="H55" s="90"/>
      <c r="I55" s="90"/>
      <c r="J55" s="88"/>
      <c r="K55" s="90"/>
      <c r="L55" s="90"/>
      <c r="M55" s="90"/>
      <c r="N55" s="88"/>
      <c r="O55" s="90"/>
      <c r="P55" s="90"/>
      <c r="Q55" s="90"/>
      <c r="R55" s="88"/>
      <c r="S55" s="90"/>
      <c r="T55" s="90"/>
      <c r="U55" s="90"/>
      <c r="V55" s="91"/>
    </row>
    <row r="56" spans="1:22" ht="112.5">
      <c r="A56" s="98" t="s">
        <v>34</v>
      </c>
      <c r="B56" s="105" t="s">
        <v>99</v>
      </c>
      <c r="C56" s="13">
        <v>811</v>
      </c>
      <c r="D56" s="14" t="s">
        <v>30</v>
      </c>
      <c r="E56" s="13" t="s">
        <v>100</v>
      </c>
      <c r="F56" s="88">
        <f t="shared" ref="F56:F57" si="44">SUM(G56:I56)</f>
        <v>103704.4</v>
      </c>
      <c r="G56" s="90">
        <f>17629.8+102.1873-102.1873</f>
        <v>17629.8</v>
      </c>
      <c r="H56" s="90">
        <f>86074.6+498.9127-498.9127</f>
        <v>86074.6</v>
      </c>
      <c r="I56" s="90"/>
      <c r="J56" s="88">
        <f t="shared" ref="J56:J57" si="45">SUM(K56:M56)</f>
        <v>39739.9</v>
      </c>
      <c r="K56" s="90">
        <v>6755.8</v>
      </c>
      <c r="L56" s="90">
        <v>32984.1</v>
      </c>
      <c r="M56" s="90"/>
      <c r="N56" s="88">
        <f t="shared" ref="N56:N57" si="46">SUM(O56:Q56)</f>
        <v>105158.39999999999</v>
      </c>
      <c r="O56" s="90">
        <f>17629.8+247.2</f>
        <v>17877</v>
      </c>
      <c r="P56" s="90">
        <f>86074.6+1206.8</f>
        <v>87281.4</v>
      </c>
      <c r="Q56" s="90"/>
      <c r="R56" s="88">
        <f t="shared" ref="R56:R57" si="47">SUM(S56:U56)</f>
        <v>0</v>
      </c>
      <c r="S56" s="90"/>
      <c r="T56" s="90"/>
      <c r="U56" s="90"/>
      <c r="V56" s="91">
        <f t="shared" si="6"/>
        <v>0.38300000000000001</v>
      </c>
    </row>
    <row r="57" spans="1:22" ht="49.5">
      <c r="A57" s="98"/>
      <c r="B57" s="105" t="s">
        <v>101</v>
      </c>
      <c r="C57" s="13">
        <v>811</v>
      </c>
      <c r="D57" s="14" t="s">
        <v>30</v>
      </c>
      <c r="E57" s="13" t="s">
        <v>102</v>
      </c>
      <c r="F57" s="88">
        <f t="shared" si="44"/>
        <v>2500</v>
      </c>
      <c r="G57" s="90">
        <v>2500</v>
      </c>
      <c r="H57" s="90"/>
      <c r="I57" s="90"/>
      <c r="J57" s="88">
        <f t="shared" si="45"/>
        <v>2149.4</v>
      </c>
      <c r="K57" s="90">
        <v>2149.4</v>
      </c>
      <c r="L57" s="90"/>
      <c r="M57" s="90"/>
      <c r="N57" s="88">
        <f t="shared" si="46"/>
        <v>2500</v>
      </c>
      <c r="O57" s="90">
        <v>2500</v>
      </c>
      <c r="P57" s="90"/>
      <c r="Q57" s="90"/>
      <c r="R57" s="88">
        <f t="shared" si="47"/>
        <v>2500</v>
      </c>
      <c r="S57" s="90">
        <v>2500</v>
      </c>
      <c r="T57" s="90"/>
      <c r="U57" s="90"/>
      <c r="V57" s="91">
        <f t="shared" si="6"/>
        <v>0.86</v>
      </c>
    </row>
    <row r="58" spans="1:22" ht="112.5">
      <c r="A58" s="102" t="s">
        <v>103</v>
      </c>
      <c r="B58" s="103" t="s">
        <v>104</v>
      </c>
      <c r="C58" s="12" t="s">
        <v>19</v>
      </c>
      <c r="D58" s="12" t="s">
        <v>19</v>
      </c>
      <c r="E58" s="12" t="s">
        <v>19</v>
      </c>
      <c r="F58" s="88">
        <f>SUM(G58:I58)</f>
        <v>138662</v>
      </c>
      <c r="G58" s="88">
        <f>SUM(G60:G61)</f>
        <v>26290</v>
      </c>
      <c r="H58" s="88">
        <f t="shared" ref="H58:I58" si="48">SUM(H60:H61)</f>
        <v>112372</v>
      </c>
      <c r="I58" s="88">
        <f t="shared" si="48"/>
        <v>0</v>
      </c>
      <c r="J58" s="88">
        <f>SUM(K58:M58)</f>
        <v>7000</v>
      </c>
      <c r="K58" s="88">
        <f>SUM(K60:K61)</f>
        <v>7000</v>
      </c>
      <c r="L58" s="88">
        <f t="shared" ref="L58:M58" si="49">SUM(L60:L61)</f>
        <v>0</v>
      </c>
      <c r="M58" s="88">
        <f t="shared" si="49"/>
        <v>0</v>
      </c>
      <c r="N58" s="88">
        <f>SUM(O58:Q58)</f>
        <v>405713</v>
      </c>
      <c r="O58" s="88">
        <f>SUM(O60:O61)</f>
        <v>26290</v>
      </c>
      <c r="P58" s="88">
        <f t="shared" ref="P58:Q58" si="50">SUM(P60:P61)</f>
        <v>379423</v>
      </c>
      <c r="Q58" s="88">
        <f t="shared" si="50"/>
        <v>0</v>
      </c>
      <c r="R58" s="88">
        <f>SUM(S58:U58)</f>
        <v>132395.1</v>
      </c>
      <c r="S58" s="88">
        <f>SUM(S60:S61)</f>
        <v>26290</v>
      </c>
      <c r="T58" s="88">
        <f t="shared" ref="T58:U58" si="51">SUM(T60:T61)</f>
        <v>106105.1</v>
      </c>
      <c r="U58" s="88">
        <f t="shared" si="51"/>
        <v>0</v>
      </c>
      <c r="V58" s="89">
        <f t="shared" si="6"/>
        <v>0.05</v>
      </c>
    </row>
    <row r="59" spans="1:22" ht="18.75">
      <c r="A59" s="98"/>
      <c r="B59" s="104" t="s">
        <v>22</v>
      </c>
      <c r="C59" s="13"/>
      <c r="D59" s="13"/>
      <c r="E59" s="13"/>
      <c r="F59" s="88"/>
      <c r="G59" s="90"/>
      <c r="H59" s="90"/>
      <c r="I59" s="90"/>
      <c r="J59" s="88"/>
      <c r="K59" s="90"/>
      <c r="L59" s="90"/>
      <c r="M59" s="90"/>
      <c r="N59" s="88"/>
      <c r="O59" s="90"/>
      <c r="P59" s="90"/>
      <c r="Q59" s="90"/>
      <c r="R59" s="88"/>
      <c r="S59" s="90"/>
      <c r="T59" s="90"/>
      <c r="U59" s="90"/>
      <c r="V59" s="91"/>
    </row>
    <row r="60" spans="1:22" ht="93.75">
      <c r="A60" s="98" t="s">
        <v>34</v>
      </c>
      <c r="B60" s="105" t="s">
        <v>105</v>
      </c>
      <c r="C60" s="13">
        <v>811</v>
      </c>
      <c r="D60" s="14" t="s">
        <v>30</v>
      </c>
      <c r="E60" s="13" t="s">
        <v>106</v>
      </c>
      <c r="F60" s="88">
        <f t="shared" ref="F60:F61" si="52">SUM(G60:I60)</f>
        <v>130162</v>
      </c>
      <c r="G60" s="90">
        <v>17790</v>
      </c>
      <c r="H60" s="90">
        <v>112372</v>
      </c>
      <c r="I60" s="90"/>
      <c r="J60" s="88">
        <f t="shared" ref="J60:J61" si="53">SUM(K60:M60)</f>
        <v>0</v>
      </c>
      <c r="K60" s="90"/>
      <c r="L60" s="90"/>
      <c r="M60" s="90"/>
      <c r="N60" s="88">
        <f t="shared" ref="N60:N61" si="54">SUM(O60:Q60)</f>
        <v>397213</v>
      </c>
      <c r="O60" s="90">
        <v>17790</v>
      </c>
      <c r="P60" s="90">
        <v>379423</v>
      </c>
      <c r="Q60" s="90"/>
      <c r="R60" s="88">
        <f t="shared" ref="R60:R61" si="55">SUM(S60:U60)</f>
        <v>123895.1</v>
      </c>
      <c r="S60" s="90">
        <v>17790</v>
      </c>
      <c r="T60" s="90">
        <v>106105.1</v>
      </c>
      <c r="U60" s="90"/>
      <c r="V60" s="91">
        <f t="shared" si="6"/>
        <v>0</v>
      </c>
    </row>
    <row r="61" spans="1:22" ht="75">
      <c r="A61" s="98"/>
      <c r="B61" s="105" t="s">
        <v>107</v>
      </c>
      <c r="C61" s="13">
        <v>811</v>
      </c>
      <c r="D61" s="14" t="s">
        <v>30</v>
      </c>
      <c r="E61" s="13" t="s">
        <v>108</v>
      </c>
      <c r="F61" s="88">
        <f t="shared" si="52"/>
        <v>8500</v>
      </c>
      <c r="G61" s="90">
        <v>8500</v>
      </c>
      <c r="H61" s="90"/>
      <c r="I61" s="90"/>
      <c r="J61" s="88">
        <f t="shared" si="53"/>
        <v>7000</v>
      </c>
      <c r="K61" s="90">
        <v>7000</v>
      </c>
      <c r="L61" s="90"/>
      <c r="M61" s="90"/>
      <c r="N61" s="88">
        <f t="shared" si="54"/>
        <v>8500</v>
      </c>
      <c r="O61" s="90">
        <v>8500</v>
      </c>
      <c r="P61" s="90"/>
      <c r="Q61" s="90"/>
      <c r="R61" s="88">
        <f t="shared" si="55"/>
        <v>8500</v>
      </c>
      <c r="S61" s="90">
        <v>8500</v>
      </c>
      <c r="T61" s="90"/>
      <c r="U61" s="90"/>
      <c r="V61" s="91">
        <f t="shared" si="6"/>
        <v>0.82399999999999995</v>
      </c>
    </row>
    <row r="62" spans="1:22" ht="56.25">
      <c r="A62" s="102" t="s">
        <v>109</v>
      </c>
      <c r="B62" s="103" t="s">
        <v>110</v>
      </c>
      <c r="C62" s="12" t="s">
        <v>19</v>
      </c>
      <c r="D62" s="12" t="s">
        <v>19</v>
      </c>
      <c r="E62" s="12" t="s">
        <v>19</v>
      </c>
      <c r="F62" s="88">
        <f>SUM(F64:F66)</f>
        <v>608978.80000000005</v>
      </c>
      <c r="G62" s="88">
        <f t="shared" ref="G62:U62" si="56">SUM(G64:G66)</f>
        <v>79709.2</v>
      </c>
      <c r="H62" s="88">
        <f t="shared" si="56"/>
        <v>529269.6</v>
      </c>
      <c r="I62" s="88">
        <f t="shared" si="56"/>
        <v>0</v>
      </c>
      <c r="J62" s="88">
        <f>SUM(J64:J66)</f>
        <v>235732.4</v>
      </c>
      <c r="K62" s="88">
        <f t="shared" si="56"/>
        <v>11535.6</v>
      </c>
      <c r="L62" s="88">
        <f t="shared" si="56"/>
        <v>224196.8</v>
      </c>
      <c r="M62" s="88">
        <f t="shared" si="56"/>
        <v>0</v>
      </c>
      <c r="N62" s="88">
        <f>SUM(N64:N66)</f>
        <v>1550457.3</v>
      </c>
      <c r="O62" s="88">
        <f t="shared" si="56"/>
        <v>202067.8</v>
      </c>
      <c r="P62" s="88">
        <f t="shared" si="56"/>
        <v>1348389.5</v>
      </c>
      <c r="Q62" s="88">
        <f t="shared" si="56"/>
        <v>0</v>
      </c>
      <c r="R62" s="88">
        <f>SUM(R64:R66)</f>
        <v>2572669.2000000002</v>
      </c>
      <c r="S62" s="88">
        <f t="shared" si="56"/>
        <v>499078.40000000002</v>
      </c>
      <c r="T62" s="88">
        <f t="shared" si="56"/>
        <v>2073590.8</v>
      </c>
      <c r="U62" s="88">
        <f t="shared" si="56"/>
        <v>0</v>
      </c>
      <c r="V62" s="89">
        <f t="shared" si="6"/>
        <v>0.38700000000000001</v>
      </c>
    </row>
    <row r="63" spans="1:22" ht="18.75">
      <c r="A63" s="98"/>
      <c r="B63" s="104" t="s">
        <v>22</v>
      </c>
      <c r="C63" s="13"/>
      <c r="D63" s="13"/>
      <c r="E63" s="13"/>
      <c r="F63" s="88"/>
      <c r="G63" s="90"/>
      <c r="H63" s="90"/>
      <c r="I63" s="90"/>
      <c r="J63" s="88"/>
      <c r="K63" s="90"/>
      <c r="L63" s="90"/>
      <c r="M63" s="90"/>
      <c r="N63" s="88"/>
      <c r="O63" s="90"/>
      <c r="P63" s="90"/>
      <c r="Q63" s="90"/>
      <c r="R63" s="88"/>
      <c r="S63" s="90"/>
      <c r="T63" s="90"/>
      <c r="U63" s="90"/>
      <c r="V63" s="91"/>
    </row>
    <row r="64" spans="1:22" ht="162" customHeight="1">
      <c r="A64" s="102" t="s">
        <v>23</v>
      </c>
      <c r="B64" s="105" t="s">
        <v>111</v>
      </c>
      <c r="C64" s="13">
        <v>811</v>
      </c>
      <c r="D64" s="14" t="s">
        <v>30</v>
      </c>
      <c r="E64" s="13" t="s">
        <v>112</v>
      </c>
      <c r="F64" s="88">
        <f t="shared" ref="F64:F66" si="57">SUM(G64:I64)</f>
        <v>223067.6</v>
      </c>
      <c r="G64" s="90"/>
      <c r="H64" s="90">
        <v>223067.6</v>
      </c>
      <c r="I64" s="90"/>
      <c r="J64" s="88">
        <f t="shared" ref="J64:J66" si="58">SUM(K64:M64)</f>
        <v>169746.2</v>
      </c>
      <c r="K64" s="90"/>
      <c r="L64" s="90">
        <v>169746.2</v>
      </c>
      <c r="M64" s="90"/>
      <c r="N64" s="88">
        <f t="shared" ref="N64:N66" si="59">SUM(O64:Q64)</f>
        <v>390904.5</v>
      </c>
      <c r="O64" s="90"/>
      <c r="P64" s="90">
        <v>390904.5</v>
      </c>
      <c r="Q64" s="90"/>
      <c r="R64" s="88">
        <f t="shared" ref="R64:R66" si="60">SUM(S64:U64)</f>
        <v>158618.79999999999</v>
      </c>
      <c r="S64" s="90"/>
      <c r="T64" s="90">
        <v>158618.79999999999</v>
      </c>
      <c r="U64" s="90"/>
      <c r="V64" s="91">
        <f t="shared" si="6"/>
        <v>0.76100000000000001</v>
      </c>
    </row>
    <row r="65" spans="1:22" ht="123.6" customHeight="1">
      <c r="A65" s="102" t="s">
        <v>34</v>
      </c>
      <c r="B65" s="105" t="s">
        <v>113</v>
      </c>
      <c r="C65" s="13">
        <v>821</v>
      </c>
      <c r="D65" s="14" t="s">
        <v>36</v>
      </c>
      <c r="E65" s="13" t="s">
        <v>114</v>
      </c>
      <c r="F65" s="88">
        <f t="shared" si="57"/>
        <v>385911.2</v>
      </c>
      <c r="G65" s="90">
        <v>79709.2</v>
      </c>
      <c r="H65" s="90">
        <v>306202</v>
      </c>
      <c r="I65" s="90"/>
      <c r="J65" s="88">
        <f t="shared" si="58"/>
        <v>65986.2</v>
      </c>
      <c r="K65" s="90">
        <v>11535.6</v>
      </c>
      <c r="L65" s="90">
        <v>54450.6</v>
      </c>
      <c r="M65" s="90"/>
      <c r="N65" s="88">
        <f t="shared" si="59"/>
        <v>1159552.8</v>
      </c>
      <c r="O65" s="90">
        <f>200254.9+1812.9</f>
        <v>202067.8</v>
      </c>
      <c r="P65" s="90">
        <v>957485</v>
      </c>
      <c r="Q65" s="90"/>
      <c r="R65" s="88">
        <f t="shared" si="60"/>
        <v>2414050.4</v>
      </c>
      <c r="S65" s="90">
        <f>498971.2+107.2</f>
        <v>499078.40000000002</v>
      </c>
      <c r="T65" s="90">
        <v>1914972</v>
      </c>
      <c r="U65" s="90"/>
      <c r="V65" s="91">
        <f t="shared" si="6"/>
        <v>0.17100000000000001</v>
      </c>
    </row>
    <row r="66" spans="1:22" ht="76.900000000000006" customHeight="1">
      <c r="A66" s="102"/>
      <c r="B66" s="105" t="s">
        <v>115</v>
      </c>
      <c r="C66" s="13">
        <v>821</v>
      </c>
      <c r="D66" s="14" t="s">
        <v>36</v>
      </c>
      <c r="E66" s="13" t="s">
        <v>116</v>
      </c>
      <c r="F66" s="88">
        <f t="shared" si="57"/>
        <v>0</v>
      </c>
      <c r="G66" s="90">
        <f>673-673</f>
        <v>0</v>
      </c>
      <c r="H66" s="90"/>
      <c r="I66" s="90"/>
      <c r="J66" s="88">
        <f t="shared" si="58"/>
        <v>0</v>
      </c>
      <c r="K66" s="90"/>
      <c r="L66" s="90"/>
      <c r="M66" s="90"/>
      <c r="N66" s="88">
        <f t="shared" si="59"/>
        <v>0</v>
      </c>
      <c r="O66" s="90">
        <f>1812.9-1812.9</f>
        <v>0</v>
      </c>
      <c r="P66" s="90"/>
      <c r="Q66" s="90"/>
      <c r="R66" s="88">
        <f t="shared" si="60"/>
        <v>0</v>
      </c>
      <c r="S66" s="90">
        <f>107.2-107.2</f>
        <v>0</v>
      </c>
      <c r="T66" s="90"/>
      <c r="U66" s="90"/>
      <c r="V66" s="91"/>
    </row>
    <row r="67" spans="1:22" ht="18.75">
      <c r="A67" s="100" t="s">
        <v>117</v>
      </c>
      <c r="B67" s="101" t="s">
        <v>118</v>
      </c>
      <c r="C67" s="2" t="s">
        <v>19</v>
      </c>
      <c r="D67" s="2" t="s">
        <v>19</v>
      </c>
      <c r="E67" s="2" t="s">
        <v>19</v>
      </c>
      <c r="F67" s="86">
        <f t="shared" ref="F67:U67" si="61">F68+F76+F82+F89+F100</f>
        <v>1518736.1</v>
      </c>
      <c r="G67" s="86">
        <f t="shared" si="61"/>
        <v>817130.8</v>
      </c>
      <c r="H67" s="86">
        <f t="shared" si="61"/>
        <v>662910.19999999995</v>
      </c>
      <c r="I67" s="86">
        <f t="shared" si="61"/>
        <v>38695.1</v>
      </c>
      <c r="J67" s="86">
        <f t="shared" ref="J67" si="62">J68+J76+J82+J89+J100</f>
        <v>1288007.7</v>
      </c>
      <c r="K67" s="86">
        <f t="shared" si="61"/>
        <v>767131</v>
      </c>
      <c r="L67" s="86">
        <f t="shared" si="61"/>
        <v>485984.4</v>
      </c>
      <c r="M67" s="86">
        <f t="shared" si="61"/>
        <v>34892.300000000003</v>
      </c>
      <c r="N67" s="86">
        <f t="shared" ref="N67" si="63">N68+N76+N82+N89+N100</f>
        <v>1450138.1</v>
      </c>
      <c r="O67" s="86">
        <f t="shared" si="61"/>
        <v>1056266</v>
      </c>
      <c r="P67" s="86">
        <f t="shared" si="61"/>
        <v>393564.5</v>
      </c>
      <c r="Q67" s="86">
        <f t="shared" si="61"/>
        <v>307.60000000000002</v>
      </c>
      <c r="R67" s="86">
        <f t="shared" ref="R67" si="64">R68+R76+R82+R89+R100</f>
        <v>755164.2</v>
      </c>
      <c r="S67" s="86">
        <f t="shared" si="61"/>
        <v>755164.2</v>
      </c>
      <c r="T67" s="86">
        <f t="shared" si="61"/>
        <v>0</v>
      </c>
      <c r="U67" s="86">
        <f t="shared" si="61"/>
        <v>0</v>
      </c>
      <c r="V67" s="87">
        <f t="shared" si="6"/>
        <v>0.84799999999999998</v>
      </c>
    </row>
    <row r="68" spans="1:22" ht="37.5">
      <c r="A68" s="102" t="s">
        <v>119</v>
      </c>
      <c r="B68" s="103" t="s">
        <v>120</v>
      </c>
      <c r="C68" s="12" t="s">
        <v>19</v>
      </c>
      <c r="D68" s="12" t="s">
        <v>19</v>
      </c>
      <c r="E68" s="12" t="s">
        <v>19</v>
      </c>
      <c r="F68" s="88">
        <f>SUM(F70:F75)</f>
        <v>1311941.2</v>
      </c>
      <c r="G68" s="88">
        <f t="shared" ref="G68:U68" si="65">SUM(G70:G75)</f>
        <v>705896</v>
      </c>
      <c r="H68" s="88">
        <f t="shared" si="65"/>
        <v>567363.30000000005</v>
      </c>
      <c r="I68" s="88">
        <f t="shared" si="65"/>
        <v>38681.9</v>
      </c>
      <c r="J68" s="88">
        <f>SUM(J70:J75)</f>
        <v>1165863.6000000001</v>
      </c>
      <c r="K68" s="88">
        <f t="shared" si="65"/>
        <v>693227.3</v>
      </c>
      <c r="L68" s="88">
        <f t="shared" si="65"/>
        <v>437750</v>
      </c>
      <c r="M68" s="88">
        <f t="shared" si="65"/>
        <v>34886.300000000003</v>
      </c>
      <c r="N68" s="88">
        <f>SUM(N70:N75)</f>
        <v>1389018.1</v>
      </c>
      <c r="O68" s="88">
        <f t="shared" si="65"/>
        <v>995146</v>
      </c>
      <c r="P68" s="88">
        <f t="shared" si="65"/>
        <v>393564.5</v>
      </c>
      <c r="Q68" s="88">
        <f t="shared" si="65"/>
        <v>307.60000000000002</v>
      </c>
      <c r="R68" s="88">
        <f>SUM(R70:R75)</f>
        <v>687844.2</v>
      </c>
      <c r="S68" s="88">
        <f t="shared" si="65"/>
        <v>687844.2</v>
      </c>
      <c r="T68" s="88">
        <f t="shared" si="65"/>
        <v>0</v>
      </c>
      <c r="U68" s="88">
        <f t="shared" si="65"/>
        <v>0</v>
      </c>
      <c r="V68" s="89">
        <f t="shared" si="6"/>
        <v>0.88900000000000001</v>
      </c>
    </row>
    <row r="69" spans="1:22" ht="18.75">
      <c r="A69" s="98"/>
      <c r="B69" s="104" t="s">
        <v>22</v>
      </c>
      <c r="C69" s="13"/>
      <c r="D69" s="13"/>
      <c r="E69" s="13"/>
      <c r="F69" s="88"/>
      <c r="G69" s="90"/>
      <c r="H69" s="90"/>
      <c r="I69" s="90"/>
      <c r="J69" s="88"/>
      <c r="K69" s="90"/>
      <c r="L69" s="90"/>
      <c r="M69" s="90"/>
      <c r="N69" s="88"/>
      <c r="O69" s="90"/>
      <c r="P69" s="90"/>
      <c r="Q69" s="90"/>
      <c r="R69" s="88"/>
      <c r="S69" s="90"/>
      <c r="T69" s="90"/>
      <c r="U69" s="90"/>
      <c r="V69" s="91"/>
    </row>
    <row r="70" spans="1:22" ht="114.75" customHeight="1">
      <c r="A70" s="98" t="s">
        <v>34</v>
      </c>
      <c r="B70" s="105" t="s">
        <v>121</v>
      </c>
      <c r="C70" s="13">
        <v>815</v>
      </c>
      <c r="D70" s="14" t="s">
        <v>122</v>
      </c>
      <c r="E70" s="18" t="s">
        <v>123</v>
      </c>
      <c r="F70" s="88">
        <f>SUM(G70:I70)</f>
        <v>46409.3</v>
      </c>
      <c r="G70" s="90">
        <v>1392.3</v>
      </c>
      <c r="H70" s="90">
        <v>45017</v>
      </c>
      <c r="I70" s="90"/>
      <c r="J70" s="88">
        <f>SUM(K70:M70)</f>
        <v>12068.6</v>
      </c>
      <c r="K70" s="90">
        <v>362</v>
      </c>
      <c r="L70" s="90">
        <v>11706.6</v>
      </c>
      <c r="M70" s="90"/>
      <c r="N70" s="88">
        <f>SUM(O70:Q70)</f>
        <v>0</v>
      </c>
      <c r="O70" s="90"/>
      <c r="P70" s="90"/>
      <c r="Q70" s="90"/>
      <c r="R70" s="88">
        <f>SUM(S70:U70)</f>
        <v>0</v>
      </c>
      <c r="S70" s="90"/>
      <c r="T70" s="90"/>
      <c r="U70" s="90"/>
      <c r="V70" s="91">
        <f t="shared" si="6"/>
        <v>0.26</v>
      </c>
    </row>
    <row r="71" spans="1:22" ht="131.25">
      <c r="A71" s="98" t="s">
        <v>34</v>
      </c>
      <c r="B71" s="105" t="s">
        <v>124</v>
      </c>
      <c r="C71" s="13">
        <v>821</v>
      </c>
      <c r="D71" s="14" t="s">
        <v>36</v>
      </c>
      <c r="E71" s="18" t="s">
        <v>125</v>
      </c>
      <c r="F71" s="88">
        <f t="shared" ref="F71:F75" si="66">SUM(G71:I71)</f>
        <v>99380.7</v>
      </c>
      <c r="G71" s="90">
        <v>2978.4</v>
      </c>
      <c r="H71" s="90">
        <v>96302.9</v>
      </c>
      <c r="I71" s="90">
        <v>99.4</v>
      </c>
      <c r="J71" s="88">
        <f t="shared" ref="J71:J75" si="67">SUM(K71:M71)</f>
        <v>0</v>
      </c>
      <c r="K71" s="90"/>
      <c r="L71" s="90"/>
      <c r="M71" s="90"/>
      <c r="N71" s="88">
        <f t="shared" ref="N71:N75" si="68">SUM(O71:Q71)</f>
        <v>307609.40000000002</v>
      </c>
      <c r="O71" s="90">
        <v>307301.8</v>
      </c>
      <c r="P71" s="90"/>
      <c r="Q71" s="90">
        <v>307.60000000000002</v>
      </c>
      <c r="R71" s="88">
        <f t="shared" ref="R71:R75" si="69">SUM(S71:U71)</f>
        <v>0</v>
      </c>
      <c r="S71" s="90"/>
      <c r="T71" s="90"/>
      <c r="U71" s="90"/>
      <c r="V71" s="91">
        <f t="shared" si="6"/>
        <v>0</v>
      </c>
    </row>
    <row r="72" spans="1:22" ht="93.75">
      <c r="A72" s="98"/>
      <c r="B72" s="105" t="s">
        <v>126</v>
      </c>
      <c r="C72" s="13">
        <v>815</v>
      </c>
      <c r="D72" s="14" t="s">
        <v>122</v>
      </c>
      <c r="E72" s="18" t="s">
        <v>125</v>
      </c>
      <c r="F72" s="88">
        <f t="shared" si="66"/>
        <v>8660</v>
      </c>
      <c r="G72" s="90">
        <v>8660</v>
      </c>
      <c r="H72" s="90"/>
      <c r="I72" s="90"/>
      <c r="J72" s="88">
        <f t="shared" si="67"/>
        <v>0</v>
      </c>
      <c r="K72" s="90"/>
      <c r="L72" s="90"/>
      <c r="M72" s="90"/>
      <c r="N72" s="88">
        <f t="shared" si="68"/>
        <v>0</v>
      </c>
      <c r="O72" s="90"/>
      <c r="P72" s="90"/>
      <c r="Q72" s="90"/>
      <c r="R72" s="88">
        <f t="shared" si="69"/>
        <v>0</v>
      </c>
      <c r="S72" s="90"/>
      <c r="T72" s="90"/>
      <c r="U72" s="90"/>
      <c r="V72" s="91">
        <f t="shared" si="6"/>
        <v>0</v>
      </c>
    </row>
    <row r="73" spans="1:22" ht="131.25">
      <c r="A73" s="98" t="s">
        <v>34</v>
      </c>
      <c r="B73" s="105" t="s">
        <v>127</v>
      </c>
      <c r="C73" s="13">
        <v>821</v>
      </c>
      <c r="D73" s="14" t="s">
        <v>36</v>
      </c>
      <c r="E73" s="18" t="s">
        <v>128</v>
      </c>
      <c r="F73" s="88">
        <f t="shared" si="66"/>
        <v>1082491.2</v>
      </c>
      <c r="G73" s="90">
        <v>655365.30000000005</v>
      </c>
      <c r="H73" s="90">
        <v>426043.4</v>
      </c>
      <c r="I73" s="90">
        <v>1082.5</v>
      </c>
      <c r="J73" s="88">
        <f t="shared" si="67"/>
        <v>1082491.2</v>
      </c>
      <c r="K73" s="90">
        <v>655365.30000000005</v>
      </c>
      <c r="L73" s="90">
        <v>426043.4</v>
      </c>
      <c r="M73" s="90">
        <v>1082.5</v>
      </c>
      <c r="N73" s="88">
        <f t="shared" si="68"/>
        <v>1081408.7</v>
      </c>
      <c r="O73" s="90">
        <v>687844.2</v>
      </c>
      <c r="P73" s="90">
        <v>393564.5</v>
      </c>
      <c r="Q73" s="90"/>
      <c r="R73" s="88">
        <f t="shared" si="69"/>
        <v>0</v>
      </c>
      <c r="S73" s="90">
        <f>687844.2-687844.2</f>
        <v>0</v>
      </c>
      <c r="T73" s="90"/>
      <c r="U73" s="90"/>
      <c r="V73" s="91">
        <f t="shared" ref="V73:V136" si="70">J73/F73</f>
        <v>1</v>
      </c>
    </row>
    <row r="74" spans="1:22" ht="66">
      <c r="A74" s="98"/>
      <c r="B74" s="105" t="s">
        <v>342</v>
      </c>
      <c r="C74" s="13">
        <v>821</v>
      </c>
      <c r="D74" s="14" t="s">
        <v>36</v>
      </c>
      <c r="E74" s="18" t="s">
        <v>343</v>
      </c>
      <c r="F74" s="88">
        <f t="shared" si="66"/>
        <v>0</v>
      </c>
      <c r="G74" s="90"/>
      <c r="H74" s="90"/>
      <c r="I74" s="90"/>
      <c r="J74" s="88">
        <f t="shared" si="67"/>
        <v>0</v>
      </c>
      <c r="K74" s="90"/>
      <c r="L74" s="90"/>
      <c r="M74" s="90"/>
      <c r="N74" s="88">
        <f t="shared" si="68"/>
        <v>0</v>
      </c>
      <c r="O74" s="90"/>
      <c r="P74" s="90"/>
      <c r="Q74" s="90"/>
      <c r="R74" s="88">
        <f t="shared" si="69"/>
        <v>687844.2</v>
      </c>
      <c r="S74" s="90">
        <v>687844.2</v>
      </c>
      <c r="T74" s="90"/>
      <c r="U74" s="90"/>
      <c r="V74" s="91"/>
    </row>
    <row r="75" spans="1:22" ht="75">
      <c r="A75" s="98"/>
      <c r="B75" s="105" t="s">
        <v>129</v>
      </c>
      <c r="C75" s="13">
        <v>815</v>
      </c>
      <c r="D75" s="14" t="s">
        <v>122</v>
      </c>
      <c r="E75" s="18" t="s">
        <v>130</v>
      </c>
      <c r="F75" s="88">
        <f t="shared" si="66"/>
        <v>75000</v>
      </c>
      <c r="G75" s="90">
        <v>37500</v>
      </c>
      <c r="H75" s="90"/>
      <c r="I75" s="90">
        <v>37500</v>
      </c>
      <c r="J75" s="88">
        <f t="shared" si="67"/>
        <v>71303.8</v>
      </c>
      <c r="K75" s="90">
        <v>37500</v>
      </c>
      <c r="L75" s="90"/>
      <c r="M75" s="90">
        <v>33803.800000000003</v>
      </c>
      <c r="N75" s="88">
        <f t="shared" si="68"/>
        <v>0</v>
      </c>
      <c r="O75" s="90"/>
      <c r="P75" s="90"/>
      <c r="Q75" s="90"/>
      <c r="R75" s="88">
        <f t="shared" si="69"/>
        <v>0</v>
      </c>
      <c r="S75" s="90"/>
      <c r="T75" s="90"/>
      <c r="U75" s="90"/>
      <c r="V75" s="91">
        <f t="shared" si="70"/>
        <v>0.95099999999999996</v>
      </c>
    </row>
    <row r="76" spans="1:22" ht="37.5">
      <c r="A76" s="102" t="s">
        <v>131</v>
      </c>
      <c r="B76" s="103" t="s">
        <v>132</v>
      </c>
      <c r="C76" s="12" t="s">
        <v>19</v>
      </c>
      <c r="D76" s="12" t="s">
        <v>19</v>
      </c>
      <c r="E76" s="12" t="s">
        <v>19</v>
      </c>
      <c r="F76" s="88">
        <f>SUM(F78:F81)</f>
        <v>37934.6</v>
      </c>
      <c r="G76" s="88">
        <f t="shared" ref="G76:U76" si="71">SUM(G78:G81)</f>
        <v>7443</v>
      </c>
      <c r="H76" s="88">
        <f t="shared" si="71"/>
        <v>30491.599999999999</v>
      </c>
      <c r="I76" s="88">
        <f t="shared" si="71"/>
        <v>0</v>
      </c>
      <c r="J76" s="88">
        <f>SUM(J78:J81)</f>
        <v>10837.7</v>
      </c>
      <c r="K76" s="88">
        <f t="shared" si="71"/>
        <v>6081.2</v>
      </c>
      <c r="L76" s="88">
        <f t="shared" si="71"/>
        <v>4756.5</v>
      </c>
      <c r="M76" s="88">
        <f t="shared" si="71"/>
        <v>0</v>
      </c>
      <c r="N76" s="88">
        <f>SUM(N78:N81)</f>
        <v>0</v>
      </c>
      <c r="O76" s="88">
        <f t="shared" si="71"/>
        <v>0</v>
      </c>
      <c r="P76" s="88">
        <f t="shared" si="71"/>
        <v>0</v>
      </c>
      <c r="Q76" s="88">
        <f t="shared" si="71"/>
        <v>0</v>
      </c>
      <c r="R76" s="88">
        <f>SUM(R78:R81)</f>
        <v>0</v>
      </c>
      <c r="S76" s="88">
        <f t="shared" si="71"/>
        <v>0</v>
      </c>
      <c r="T76" s="88">
        <f t="shared" si="71"/>
        <v>0</v>
      </c>
      <c r="U76" s="88">
        <f t="shared" si="71"/>
        <v>0</v>
      </c>
      <c r="V76" s="89">
        <f t="shared" si="70"/>
        <v>0.28599999999999998</v>
      </c>
    </row>
    <row r="77" spans="1:22" ht="18.75">
      <c r="A77" s="98"/>
      <c r="B77" s="104" t="s">
        <v>22</v>
      </c>
      <c r="C77" s="13"/>
      <c r="D77" s="13"/>
      <c r="E77" s="13"/>
      <c r="F77" s="88"/>
      <c r="G77" s="90"/>
      <c r="H77" s="90"/>
      <c r="I77" s="90"/>
      <c r="J77" s="88"/>
      <c r="K77" s="90"/>
      <c r="L77" s="90"/>
      <c r="M77" s="90"/>
      <c r="N77" s="88"/>
      <c r="O77" s="90"/>
      <c r="P77" s="90"/>
      <c r="Q77" s="90"/>
      <c r="R77" s="88"/>
      <c r="S77" s="90"/>
      <c r="T77" s="90"/>
      <c r="U77" s="90"/>
      <c r="V77" s="91"/>
    </row>
    <row r="78" spans="1:22" ht="93.75">
      <c r="A78" s="98" t="s">
        <v>34</v>
      </c>
      <c r="B78" s="105" t="s">
        <v>133</v>
      </c>
      <c r="C78" s="13">
        <v>815</v>
      </c>
      <c r="D78" s="14" t="s">
        <v>122</v>
      </c>
      <c r="E78" s="18" t="s">
        <v>134</v>
      </c>
      <c r="F78" s="88">
        <f t="shared" ref="F78:F81" si="72">SUM(G78:I78)</f>
        <v>27001.7</v>
      </c>
      <c r="G78" s="90">
        <v>810.1</v>
      </c>
      <c r="H78" s="90">
        <v>26191.599999999999</v>
      </c>
      <c r="I78" s="90"/>
      <c r="J78" s="88">
        <f t="shared" ref="J78:J81" si="73">SUM(K78:M78)</f>
        <v>470.6</v>
      </c>
      <c r="K78" s="90">
        <v>14.1</v>
      </c>
      <c r="L78" s="90">
        <v>456.5</v>
      </c>
      <c r="M78" s="90"/>
      <c r="N78" s="88">
        <f t="shared" ref="N78:N81" si="74">SUM(O78:Q78)</f>
        <v>0</v>
      </c>
      <c r="O78" s="90"/>
      <c r="P78" s="90"/>
      <c r="Q78" s="90"/>
      <c r="R78" s="88">
        <f t="shared" ref="R78:R81" si="75">SUM(S78:U78)</f>
        <v>0</v>
      </c>
      <c r="S78" s="90"/>
      <c r="T78" s="90"/>
      <c r="U78" s="90"/>
      <c r="V78" s="91">
        <f t="shared" si="70"/>
        <v>1.7000000000000001E-2</v>
      </c>
    </row>
    <row r="79" spans="1:22" ht="93.75">
      <c r="A79" s="98" t="s">
        <v>34</v>
      </c>
      <c r="B79" s="105" t="s">
        <v>133</v>
      </c>
      <c r="C79" s="13">
        <v>816</v>
      </c>
      <c r="D79" s="14" t="s">
        <v>135</v>
      </c>
      <c r="E79" s="18" t="s">
        <v>136</v>
      </c>
      <c r="F79" s="88">
        <f t="shared" si="72"/>
        <v>4433</v>
      </c>
      <c r="G79" s="90">
        <v>133</v>
      </c>
      <c r="H79" s="90">
        <v>4300</v>
      </c>
      <c r="I79" s="90"/>
      <c r="J79" s="88">
        <f t="shared" si="73"/>
        <v>4433</v>
      </c>
      <c r="K79" s="90">
        <v>133</v>
      </c>
      <c r="L79" s="90">
        <v>4300</v>
      </c>
      <c r="M79" s="90"/>
      <c r="N79" s="88">
        <f t="shared" si="74"/>
        <v>0</v>
      </c>
      <c r="O79" s="90"/>
      <c r="P79" s="90"/>
      <c r="Q79" s="90"/>
      <c r="R79" s="88">
        <f t="shared" si="75"/>
        <v>0</v>
      </c>
      <c r="S79" s="90"/>
      <c r="T79" s="90"/>
      <c r="U79" s="90"/>
      <c r="V79" s="91">
        <f t="shared" si="70"/>
        <v>1</v>
      </c>
    </row>
    <row r="80" spans="1:22" ht="75">
      <c r="A80" s="98"/>
      <c r="B80" s="105" t="s">
        <v>137</v>
      </c>
      <c r="C80" s="13">
        <v>815</v>
      </c>
      <c r="D80" s="14" t="s">
        <v>122</v>
      </c>
      <c r="E80" s="11" t="s">
        <v>138</v>
      </c>
      <c r="F80" s="88">
        <f t="shared" si="72"/>
        <v>6249.9</v>
      </c>
      <c r="G80" s="90">
        <v>6249.9</v>
      </c>
      <c r="H80" s="90"/>
      <c r="I80" s="90"/>
      <c r="J80" s="88">
        <f t="shared" si="73"/>
        <v>5729.1</v>
      </c>
      <c r="K80" s="90">
        <v>5729.1</v>
      </c>
      <c r="L80" s="90"/>
      <c r="M80" s="90"/>
      <c r="N80" s="88">
        <f t="shared" si="74"/>
        <v>0</v>
      </c>
      <c r="O80" s="90"/>
      <c r="P80" s="90"/>
      <c r="Q80" s="90"/>
      <c r="R80" s="88">
        <f t="shared" si="75"/>
        <v>0</v>
      </c>
      <c r="S80" s="90"/>
      <c r="T80" s="90"/>
      <c r="U80" s="90"/>
      <c r="V80" s="91">
        <f t="shared" si="70"/>
        <v>0.91700000000000004</v>
      </c>
    </row>
    <row r="81" spans="1:22" ht="75">
      <c r="A81" s="98"/>
      <c r="B81" s="105" t="s">
        <v>139</v>
      </c>
      <c r="C81" s="13">
        <v>816</v>
      </c>
      <c r="D81" s="14" t="s">
        <v>135</v>
      </c>
      <c r="E81" s="18" t="s">
        <v>140</v>
      </c>
      <c r="F81" s="88">
        <f t="shared" si="72"/>
        <v>250</v>
      </c>
      <c r="G81" s="90">
        <v>250</v>
      </c>
      <c r="H81" s="90"/>
      <c r="I81" s="90"/>
      <c r="J81" s="88">
        <f t="shared" si="73"/>
        <v>205</v>
      </c>
      <c r="K81" s="90">
        <v>205</v>
      </c>
      <c r="L81" s="90"/>
      <c r="M81" s="90"/>
      <c r="N81" s="88">
        <f t="shared" si="74"/>
        <v>0</v>
      </c>
      <c r="O81" s="90"/>
      <c r="P81" s="90"/>
      <c r="Q81" s="90"/>
      <c r="R81" s="88">
        <f t="shared" si="75"/>
        <v>0</v>
      </c>
      <c r="S81" s="90"/>
      <c r="T81" s="90"/>
      <c r="U81" s="90"/>
      <c r="V81" s="91">
        <f t="shared" si="70"/>
        <v>0.82</v>
      </c>
    </row>
    <row r="82" spans="1:22" ht="37.5">
      <c r="A82" s="102" t="s">
        <v>141</v>
      </c>
      <c r="B82" s="103" t="s">
        <v>142</v>
      </c>
      <c r="C82" s="12" t="s">
        <v>19</v>
      </c>
      <c r="D82" s="12" t="s">
        <v>19</v>
      </c>
      <c r="E82" s="12" t="s">
        <v>19</v>
      </c>
      <c r="F82" s="88">
        <f>SUM(F84:F88)</f>
        <v>94449.600000000006</v>
      </c>
      <c r="G82" s="88">
        <f t="shared" ref="G82:U82" si="76">SUM(G84:G88)</f>
        <v>83475.7</v>
      </c>
      <c r="H82" s="88">
        <f t="shared" si="76"/>
        <v>10960.7</v>
      </c>
      <c r="I82" s="88">
        <f t="shared" si="76"/>
        <v>13.2</v>
      </c>
      <c r="J82" s="88">
        <f>SUM(J84:J88)</f>
        <v>58121.7</v>
      </c>
      <c r="K82" s="88">
        <f t="shared" si="76"/>
        <v>53158.9</v>
      </c>
      <c r="L82" s="88">
        <f t="shared" si="76"/>
        <v>4956.8</v>
      </c>
      <c r="M82" s="88">
        <f t="shared" si="76"/>
        <v>6</v>
      </c>
      <c r="N82" s="88">
        <f>SUM(N84:N88)</f>
        <v>0</v>
      </c>
      <c r="O82" s="88">
        <f t="shared" si="76"/>
        <v>0</v>
      </c>
      <c r="P82" s="88">
        <f t="shared" si="76"/>
        <v>0</v>
      </c>
      <c r="Q82" s="88">
        <f t="shared" si="76"/>
        <v>0</v>
      </c>
      <c r="R82" s="88">
        <f>SUM(R84:R88)</f>
        <v>0</v>
      </c>
      <c r="S82" s="88">
        <f t="shared" si="76"/>
        <v>0</v>
      </c>
      <c r="T82" s="88">
        <f t="shared" si="76"/>
        <v>0</v>
      </c>
      <c r="U82" s="88">
        <f t="shared" si="76"/>
        <v>0</v>
      </c>
      <c r="V82" s="89">
        <f t="shared" si="70"/>
        <v>0.61499999999999999</v>
      </c>
    </row>
    <row r="83" spans="1:22" ht="18.75">
      <c r="A83" s="98"/>
      <c r="B83" s="104" t="s">
        <v>22</v>
      </c>
      <c r="C83" s="13"/>
      <c r="D83" s="13"/>
      <c r="E83" s="13"/>
      <c r="F83" s="88"/>
      <c r="G83" s="90"/>
      <c r="H83" s="90"/>
      <c r="I83" s="90"/>
      <c r="J83" s="88"/>
      <c r="K83" s="90"/>
      <c r="L83" s="90"/>
      <c r="M83" s="90"/>
      <c r="N83" s="88"/>
      <c r="O83" s="90"/>
      <c r="P83" s="90"/>
      <c r="Q83" s="90"/>
      <c r="R83" s="88"/>
      <c r="S83" s="90"/>
      <c r="T83" s="90"/>
      <c r="U83" s="90"/>
      <c r="V83" s="91"/>
    </row>
    <row r="84" spans="1:22" ht="93.75">
      <c r="A84" s="98" t="s">
        <v>34</v>
      </c>
      <c r="B84" s="105" t="s">
        <v>143</v>
      </c>
      <c r="C84" s="13">
        <v>821</v>
      </c>
      <c r="D84" s="14" t="s">
        <v>36</v>
      </c>
      <c r="E84" s="18" t="s">
        <v>144</v>
      </c>
      <c r="F84" s="88">
        <f t="shared" ref="F84:F88" si="77">SUM(G84:I84)</f>
        <v>13244.6</v>
      </c>
      <c r="G84" s="90">
        <v>2270.6999999999998</v>
      </c>
      <c r="H84" s="90">
        <v>10960.7</v>
      </c>
      <c r="I84" s="90">
        <v>13.2</v>
      </c>
      <c r="J84" s="88">
        <f t="shared" ref="J84:J88" si="78">SUM(K84:M84)</f>
        <v>5989.7</v>
      </c>
      <c r="K84" s="90">
        <v>1026.9000000000001</v>
      </c>
      <c r="L84" s="90">
        <v>4956.8</v>
      </c>
      <c r="M84" s="90">
        <v>6</v>
      </c>
      <c r="N84" s="88">
        <f t="shared" ref="N84:N88" si="79">SUM(O84:Q84)</f>
        <v>0</v>
      </c>
      <c r="O84" s="90"/>
      <c r="P84" s="90"/>
      <c r="Q84" s="90"/>
      <c r="R84" s="88">
        <f t="shared" ref="R84:R88" si="80">SUM(S84:U84)</f>
        <v>0</v>
      </c>
      <c r="S84" s="90"/>
      <c r="T84" s="90"/>
      <c r="U84" s="90"/>
      <c r="V84" s="91">
        <f t="shared" si="70"/>
        <v>0.45200000000000001</v>
      </c>
    </row>
    <row r="85" spans="1:22" ht="66">
      <c r="A85" s="98"/>
      <c r="B85" s="105" t="s">
        <v>145</v>
      </c>
      <c r="C85" s="13">
        <v>815</v>
      </c>
      <c r="D85" s="14" t="s">
        <v>122</v>
      </c>
      <c r="E85" s="18" t="s">
        <v>146</v>
      </c>
      <c r="F85" s="88">
        <f t="shared" si="77"/>
        <v>30000</v>
      </c>
      <c r="G85" s="90">
        <v>30000</v>
      </c>
      <c r="H85" s="90"/>
      <c r="I85" s="90"/>
      <c r="J85" s="88">
        <f t="shared" si="78"/>
        <v>13632.1</v>
      </c>
      <c r="K85" s="90">
        <v>13632.1</v>
      </c>
      <c r="L85" s="90"/>
      <c r="M85" s="90"/>
      <c r="N85" s="88">
        <f t="shared" si="79"/>
        <v>0</v>
      </c>
      <c r="O85" s="90"/>
      <c r="P85" s="90"/>
      <c r="Q85" s="90"/>
      <c r="R85" s="88">
        <f t="shared" si="80"/>
        <v>0</v>
      </c>
      <c r="S85" s="90"/>
      <c r="T85" s="90"/>
      <c r="U85" s="90"/>
      <c r="V85" s="91">
        <f t="shared" si="70"/>
        <v>0.45400000000000001</v>
      </c>
    </row>
    <row r="86" spans="1:22" ht="93.75">
      <c r="A86" s="98"/>
      <c r="B86" s="105" t="s">
        <v>147</v>
      </c>
      <c r="C86" s="13">
        <v>815</v>
      </c>
      <c r="D86" s="14" t="s">
        <v>122</v>
      </c>
      <c r="E86" s="11" t="s">
        <v>148</v>
      </c>
      <c r="F86" s="88">
        <f t="shared" si="77"/>
        <v>35464.5</v>
      </c>
      <c r="G86" s="90">
        <v>35464.5</v>
      </c>
      <c r="H86" s="90"/>
      <c r="I86" s="90"/>
      <c r="J86" s="88">
        <f t="shared" si="78"/>
        <v>26224.6</v>
      </c>
      <c r="K86" s="90">
        <v>26224.6</v>
      </c>
      <c r="L86" s="90"/>
      <c r="M86" s="90"/>
      <c r="N86" s="88">
        <f t="shared" si="79"/>
        <v>0</v>
      </c>
      <c r="O86" s="90"/>
      <c r="P86" s="90"/>
      <c r="Q86" s="90"/>
      <c r="R86" s="88">
        <f t="shared" si="80"/>
        <v>0</v>
      </c>
      <c r="S86" s="90"/>
      <c r="T86" s="90"/>
      <c r="U86" s="90"/>
      <c r="V86" s="91">
        <f t="shared" si="70"/>
        <v>0.73899999999999999</v>
      </c>
    </row>
    <row r="87" spans="1:22" ht="66">
      <c r="A87" s="98"/>
      <c r="B87" s="105" t="s">
        <v>149</v>
      </c>
      <c r="C87" s="13">
        <v>815</v>
      </c>
      <c r="D87" s="14" t="s">
        <v>122</v>
      </c>
      <c r="E87" s="11" t="s">
        <v>150</v>
      </c>
      <c r="F87" s="88">
        <f t="shared" si="77"/>
        <v>10720</v>
      </c>
      <c r="G87" s="90">
        <v>10720</v>
      </c>
      <c r="H87" s="90"/>
      <c r="I87" s="90"/>
      <c r="J87" s="88">
        <f t="shared" si="78"/>
        <v>7260.2</v>
      </c>
      <c r="K87" s="90">
        <v>7260.2</v>
      </c>
      <c r="L87" s="90"/>
      <c r="M87" s="90"/>
      <c r="N87" s="88">
        <f t="shared" si="79"/>
        <v>0</v>
      </c>
      <c r="O87" s="90"/>
      <c r="P87" s="90"/>
      <c r="Q87" s="90"/>
      <c r="R87" s="88">
        <f t="shared" si="80"/>
        <v>0</v>
      </c>
      <c r="S87" s="90"/>
      <c r="T87" s="90"/>
      <c r="U87" s="90"/>
      <c r="V87" s="91">
        <f t="shared" si="70"/>
        <v>0.67700000000000005</v>
      </c>
    </row>
    <row r="88" spans="1:22" ht="75">
      <c r="A88" s="98"/>
      <c r="B88" s="105" t="s">
        <v>151</v>
      </c>
      <c r="C88" s="13">
        <v>815</v>
      </c>
      <c r="D88" s="14" t="s">
        <v>122</v>
      </c>
      <c r="E88" s="11" t="s">
        <v>152</v>
      </c>
      <c r="F88" s="88">
        <f t="shared" si="77"/>
        <v>5020.5</v>
      </c>
      <c r="G88" s="90">
        <v>5020.5</v>
      </c>
      <c r="H88" s="90"/>
      <c r="I88" s="90"/>
      <c r="J88" s="88">
        <f t="shared" si="78"/>
        <v>5015.1000000000004</v>
      </c>
      <c r="K88" s="90">
        <v>5015.1000000000004</v>
      </c>
      <c r="L88" s="90"/>
      <c r="M88" s="90"/>
      <c r="N88" s="88">
        <f t="shared" si="79"/>
        <v>0</v>
      </c>
      <c r="O88" s="90"/>
      <c r="P88" s="90"/>
      <c r="Q88" s="90"/>
      <c r="R88" s="88">
        <f t="shared" si="80"/>
        <v>0</v>
      </c>
      <c r="S88" s="90"/>
      <c r="T88" s="90"/>
      <c r="U88" s="90"/>
      <c r="V88" s="91">
        <f t="shared" si="70"/>
        <v>0.999</v>
      </c>
    </row>
    <row r="89" spans="1:22" ht="93.75">
      <c r="A89" s="102" t="s">
        <v>153</v>
      </c>
      <c r="B89" s="103" t="s">
        <v>154</v>
      </c>
      <c r="C89" s="12" t="s">
        <v>19</v>
      </c>
      <c r="D89" s="12" t="s">
        <v>19</v>
      </c>
      <c r="E89" s="12" t="s">
        <v>19</v>
      </c>
      <c r="F89" s="88">
        <f>F91+F92+F93+F94+F95+F96+F97+F98+F99</f>
        <v>73344.7</v>
      </c>
      <c r="G89" s="88">
        <f t="shared" ref="G89:U89" si="81">G91+G92+G93+G94+G95+G96+G97+G98+G99</f>
        <v>19250.099999999999</v>
      </c>
      <c r="H89" s="88">
        <f t="shared" si="81"/>
        <v>54094.6</v>
      </c>
      <c r="I89" s="88">
        <f t="shared" si="81"/>
        <v>0</v>
      </c>
      <c r="J89" s="88">
        <f>J91+J92+J93+J94+J95+J96+J97+J98+J99</f>
        <v>52483.3</v>
      </c>
      <c r="K89" s="88">
        <f t="shared" si="81"/>
        <v>13962.2</v>
      </c>
      <c r="L89" s="88">
        <f t="shared" si="81"/>
        <v>38521.1</v>
      </c>
      <c r="M89" s="88">
        <f t="shared" si="81"/>
        <v>0</v>
      </c>
      <c r="N89" s="88">
        <f>N91+N92+N93+N94+N95+N96+N97+N98+N99</f>
        <v>61120</v>
      </c>
      <c r="O89" s="88">
        <f t="shared" si="81"/>
        <v>61120</v>
      </c>
      <c r="P89" s="88">
        <f t="shared" si="81"/>
        <v>0</v>
      </c>
      <c r="Q89" s="88">
        <f t="shared" si="81"/>
        <v>0</v>
      </c>
      <c r="R89" s="88">
        <f>R91+R92+R93+R94+R95+R96+R97+R98+R99</f>
        <v>67320</v>
      </c>
      <c r="S89" s="88">
        <f t="shared" si="81"/>
        <v>67320</v>
      </c>
      <c r="T89" s="88">
        <f t="shared" si="81"/>
        <v>0</v>
      </c>
      <c r="U89" s="88">
        <f t="shared" si="81"/>
        <v>0</v>
      </c>
      <c r="V89" s="89">
        <f t="shared" si="70"/>
        <v>0.71599999999999997</v>
      </c>
    </row>
    <row r="90" spans="1:22" ht="18.75">
      <c r="A90" s="98"/>
      <c r="B90" s="104" t="s">
        <v>22</v>
      </c>
      <c r="C90" s="13"/>
      <c r="D90" s="13"/>
      <c r="E90" s="13"/>
      <c r="F90" s="88"/>
      <c r="G90" s="90"/>
      <c r="H90" s="90"/>
      <c r="I90" s="90"/>
      <c r="J90" s="88"/>
      <c r="K90" s="90"/>
      <c r="L90" s="90"/>
      <c r="M90" s="90"/>
      <c r="N90" s="88"/>
      <c r="O90" s="90"/>
      <c r="P90" s="90"/>
      <c r="Q90" s="90"/>
      <c r="R90" s="88"/>
      <c r="S90" s="90"/>
      <c r="T90" s="90"/>
      <c r="U90" s="90"/>
      <c r="V90" s="91"/>
    </row>
    <row r="91" spans="1:22" ht="75">
      <c r="A91" s="98"/>
      <c r="B91" s="105" t="s">
        <v>155</v>
      </c>
      <c r="C91" s="13">
        <v>816</v>
      </c>
      <c r="D91" s="14" t="s">
        <v>135</v>
      </c>
      <c r="E91" s="18" t="s">
        <v>156</v>
      </c>
      <c r="F91" s="88">
        <f t="shared" ref="F91:F99" si="82">SUM(G91:I91)</f>
        <v>0</v>
      </c>
      <c r="G91" s="90">
        <f>8670-8670</f>
        <v>0</v>
      </c>
      <c r="H91" s="90">
        <v>0</v>
      </c>
      <c r="I91" s="90"/>
      <c r="J91" s="88">
        <f t="shared" ref="J91:J99" si="83">SUM(K91:M91)</f>
        <v>0</v>
      </c>
      <c r="K91" s="90">
        <f>39.59+504.24+3119.25-3663.08</f>
        <v>0</v>
      </c>
      <c r="L91" s="90"/>
      <c r="M91" s="90"/>
      <c r="N91" s="88">
        <f t="shared" ref="N91:N99" si="84">SUM(O91:Q91)</f>
        <v>0</v>
      </c>
      <c r="O91" s="90">
        <f>28120-28120</f>
        <v>0</v>
      </c>
      <c r="P91" s="90"/>
      <c r="Q91" s="90"/>
      <c r="R91" s="88">
        <f t="shared" ref="R91:R99" si="85">SUM(S91:U91)</f>
        <v>0</v>
      </c>
      <c r="S91" s="90">
        <f>34320-34320</f>
        <v>0</v>
      </c>
      <c r="T91" s="90"/>
      <c r="U91" s="90"/>
      <c r="V91" s="91"/>
    </row>
    <row r="92" spans="1:22" ht="93.75">
      <c r="A92" s="98" t="s">
        <v>34</v>
      </c>
      <c r="B92" s="105" t="s">
        <v>157</v>
      </c>
      <c r="C92" s="13">
        <v>816</v>
      </c>
      <c r="D92" s="14" t="s">
        <v>135</v>
      </c>
      <c r="E92" s="18" t="s">
        <v>158</v>
      </c>
      <c r="F92" s="88">
        <f t="shared" si="82"/>
        <v>55767.6</v>
      </c>
      <c r="G92" s="90">
        <v>1673</v>
      </c>
      <c r="H92" s="90">
        <v>54094.6</v>
      </c>
      <c r="I92" s="90"/>
      <c r="J92" s="88">
        <f t="shared" si="83"/>
        <v>39712.5</v>
      </c>
      <c r="K92" s="90">
        <v>1191.4000000000001</v>
      </c>
      <c r="L92" s="90">
        <v>38521.1</v>
      </c>
      <c r="M92" s="90"/>
      <c r="N92" s="88">
        <f t="shared" si="84"/>
        <v>0</v>
      </c>
      <c r="O92" s="90"/>
      <c r="P92" s="90"/>
      <c r="Q92" s="90"/>
      <c r="R92" s="88">
        <f t="shared" si="85"/>
        <v>0</v>
      </c>
      <c r="S92" s="90"/>
      <c r="T92" s="90"/>
      <c r="U92" s="90"/>
      <c r="V92" s="91">
        <f t="shared" si="70"/>
        <v>0.71199999999999997</v>
      </c>
    </row>
    <row r="93" spans="1:22" ht="112.5">
      <c r="A93" s="98"/>
      <c r="B93" s="105" t="s">
        <v>159</v>
      </c>
      <c r="C93" s="13">
        <v>816</v>
      </c>
      <c r="D93" s="14" t="s">
        <v>135</v>
      </c>
      <c r="E93" s="18" t="s">
        <v>160</v>
      </c>
      <c r="F93" s="88">
        <f t="shared" si="82"/>
        <v>0</v>
      </c>
      <c r="G93" s="90">
        <f>8907.1-8907.1</f>
        <v>0</v>
      </c>
      <c r="H93" s="90"/>
      <c r="I93" s="90"/>
      <c r="J93" s="88">
        <f t="shared" si="83"/>
        <v>0</v>
      </c>
      <c r="K93" s="90"/>
      <c r="L93" s="90"/>
      <c r="M93" s="90"/>
      <c r="N93" s="88">
        <f t="shared" si="84"/>
        <v>0</v>
      </c>
      <c r="O93" s="90"/>
      <c r="P93" s="90"/>
      <c r="Q93" s="90"/>
      <c r="R93" s="88">
        <f t="shared" si="85"/>
        <v>0</v>
      </c>
      <c r="S93" s="90"/>
      <c r="T93" s="90"/>
      <c r="U93" s="90"/>
      <c r="V93" s="91"/>
    </row>
    <row r="94" spans="1:22" ht="66">
      <c r="A94" s="98"/>
      <c r="B94" s="105" t="s">
        <v>161</v>
      </c>
      <c r="C94" s="13">
        <v>816</v>
      </c>
      <c r="D94" s="14" t="s">
        <v>135</v>
      </c>
      <c r="E94" s="18" t="s">
        <v>162</v>
      </c>
      <c r="F94" s="88">
        <f t="shared" si="82"/>
        <v>0</v>
      </c>
      <c r="G94" s="90"/>
      <c r="H94" s="90"/>
      <c r="I94" s="90"/>
      <c r="J94" s="88">
        <f t="shared" si="83"/>
        <v>0</v>
      </c>
      <c r="K94" s="90"/>
      <c r="L94" s="90"/>
      <c r="M94" s="90"/>
      <c r="N94" s="88">
        <f t="shared" si="84"/>
        <v>33000</v>
      </c>
      <c r="O94" s="90">
        <v>33000</v>
      </c>
      <c r="P94" s="90"/>
      <c r="Q94" s="90"/>
      <c r="R94" s="88">
        <f t="shared" si="85"/>
        <v>33000</v>
      </c>
      <c r="S94" s="90">
        <v>33000</v>
      </c>
      <c r="T94" s="90"/>
      <c r="U94" s="90"/>
      <c r="V94" s="91"/>
    </row>
    <row r="95" spans="1:22" ht="112.5">
      <c r="A95" s="98"/>
      <c r="B95" s="105" t="s">
        <v>159</v>
      </c>
      <c r="C95" s="13">
        <v>816</v>
      </c>
      <c r="D95" s="14" t="s">
        <v>135</v>
      </c>
      <c r="E95" s="18" t="s">
        <v>163</v>
      </c>
      <c r="F95" s="88">
        <f t="shared" si="82"/>
        <v>8907.1</v>
      </c>
      <c r="G95" s="90">
        <v>8907.1</v>
      </c>
      <c r="H95" s="90"/>
      <c r="I95" s="90"/>
      <c r="J95" s="88">
        <f t="shared" si="83"/>
        <v>4876.8</v>
      </c>
      <c r="K95" s="90">
        <v>4876.8</v>
      </c>
      <c r="L95" s="90"/>
      <c r="M95" s="90"/>
      <c r="N95" s="88">
        <f t="shared" si="84"/>
        <v>0</v>
      </c>
      <c r="O95" s="90"/>
      <c r="P95" s="90"/>
      <c r="Q95" s="90"/>
      <c r="R95" s="88">
        <f t="shared" si="85"/>
        <v>0</v>
      </c>
      <c r="S95" s="90"/>
      <c r="T95" s="90"/>
      <c r="U95" s="90"/>
      <c r="V95" s="91">
        <f t="shared" si="70"/>
        <v>0.54800000000000004</v>
      </c>
    </row>
    <row r="96" spans="1:22" ht="93.75">
      <c r="A96" s="98"/>
      <c r="B96" s="105" t="s">
        <v>164</v>
      </c>
      <c r="C96" s="13">
        <v>816</v>
      </c>
      <c r="D96" s="14" t="s">
        <v>135</v>
      </c>
      <c r="E96" s="18" t="s">
        <v>165</v>
      </c>
      <c r="F96" s="88">
        <f t="shared" si="82"/>
        <v>3840</v>
      </c>
      <c r="G96" s="90">
        <v>3840</v>
      </c>
      <c r="H96" s="90"/>
      <c r="I96" s="90"/>
      <c r="J96" s="88">
        <f t="shared" si="83"/>
        <v>3840</v>
      </c>
      <c r="K96" s="90">
        <v>3840</v>
      </c>
      <c r="L96" s="90"/>
      <c r="M96" s="90"/>
      <c r="N96" s="88">
        <f t="shared" si="84"/>
        <v>5620</v>
      </c>
      <c r="O96" s="90">
        <v>5620</v>
      </c>
      <c r="P96" s="90"/>
      <c r="Q96" s="90"/>
      <c r="R96" s="88">
        <f t="shared" si="85"/>
        <v>5620</v>
      </c>
      <c r="S96" s="90">
        <v>5620</v>
      </c>
      <c r="T96" s="90"/>
      <c r="U96" s="90"/>
      <c r="V96" s="91">
        <f t="shared" si="70"/>
        <v>1</v>
      </c>
    </row>
    <row r="97" spans="1:22" ht="150">
      <c r="A97" s="98"/>
      <c r="B97" s="105" t="s">
        <v>166</v>
      </c>
      <c r="C97" s="13">
        <v>816</v>
      </c>
      <c r="D97" s="14" t="s">
        <v>135</v>
      </c>
      <c r="E97" s="18" t="s">
        <v>167</v>
      </c>
      <c r="F97" s="88">
        <f t="shared" si="82"/>
        <v>280</v>
      </c>
      <c r="G97" s="90">
        <v>280</v>
      </c>
      <c r="H97" s="90"/>
      <c r="I97" s="90"/>
      <c r="J97" s="88">
        <f t="shared" si="83"/>
        <v>0</v>
      </c>
      <c r="K97" s="90"/>
      <c r="L97" s="90"/>
      <c r="M97" s="90"/>
      <c r="N97" s="88">
        <f t="shared" si="84"/>
        <v>20</v>
      </c>
      <c r="O97" s="90">
        <v>20</v>
      </c>
      <c r="P97" s="90"/>
      <c r="Q97" s="90"/>
      <c r="R97" s="88">
        <f t="shared" si="85"/>
        <v>20</v>
      </c>
      <c r="S97" s="90">
        <v>20</v>
      </c>
      <c r="T97" s="90"/>
      <c r="U97" s="90"/>
      <c r="V97" s="91">
        <f t="shared" si="70"/>
        <v>0</v>
      </c>
    </row>
    <row r="98" spans="1:22" ht="93.75">
      <c r="A98" s="98"/>
      <c r="B98" s="105" t="s">
        <v>168</v>
      </c>
      <c r="C98" s="13">
        <v>816</v>
      </c>
      <c r="D98" s="14" t="s">
        <v>135</v>
      </c>
      <c r="E98" s="18" t="s">
        <v>169</v>
      </c>
      <c r="F98" s="88">
        <f t="shared" si="82"/>
        <v>4550</v>
      </c>
      <c r="G98" s="90">
        <v>4550</v>
      </c>
      <c r="H98" s="90"/>
      <c r="I98" s="90"/>
      <c r="J98" s="88">
        <f t="shared" si="83"/>
        <v>4054</v>
      </c>
      <c r="K98" s="90">
        <v>4054</v>
      </c>
      <c r="L98" s="90"/>
      <c r="M98" s="90"/>
      <c r="N98" s="88">
        <f t="shared" si="84"/>
        <v>5850</v>
      </c>
      <c r="O98" s="90">
        <v>5850</v>
      </c>
      <c r="P98" s="90"/>
      <c r="Q98" s="90"/>
      <c r="R98" s="88">
        <f t="shared" si="85"/>
        <v>6500</v>
      </c>
      <c r="S98" s="90">
        <v>6500</v>
      </c>
      <c r="T98" s="90"/>
      <c r="U98" s="90"/>
      <c r="V98" s="91">
        <f t="shared" si="70"/>
        <v>0.89100000000000001</v>
      </c>
    </row>
    <row r="99" spans="1:22" ht="131.25">
      <c r="A99" s="98"/>
      <c r="B99" s="105" t="s">
        <v>170</v>
      </c>
      <c r="C99" s="13">
        <v>816</v>
      </c>
      <c r="D99" s="14" t="s">
        <v>135</v>
      </c>
      <c r="E99" s="18" t="s">
        <v>171</v>
      </c>
      <c r="F99" s="88">
        <f t="shared" si="82"/>
        <v>0</v>
      </c>
      <c r="G99" s="90"/>
      <c r="H99" s="90"/>
      <c r="I99" s="90"/>
      <c r="J99" s="88">
        <f t="shared" si="83"/>
        <v>0</v>
      </c>
      <c r="K99" s="90"/>
      <c r="L99" s="90"/>
      <c r="M99" s="90"/>
      <c r="N99" s="88">
        <f t="shared" si="84"/>
        <v>16630</v>
      </c>
      <c r="O99" s="90">
        <v>16630</v>
      </c>
      <c r="P99" s="90"/>
      <c r="Q99" s="90"/>
      <c r="R99" s="88">
        <f t="shared" si="85"/>
        <v>22180</v>
      </c>
      <c r="S99" s="90">
        <v>22180</v>
      </c>
      <c r="T99" s="90"/>
      <c r="U99" s="90"/>
      <c r="V99" s="91"/>
    </row>
    <row r="100" spans="1:22" ht="37.5">
      <c r="A100" s="102" t="s">
        <v>172</v>
      </c>
      <c r="B100" s="103" t="s">
        <v>173</v>
      </c>
      <c r="C100" s="12" t="s">
        <v>19</v>
      </c>
      <c r="D100" s="12" t="s">
        <v>19</v>
      </c>
      <c r="E100" s="12" t="s">
        <v>19</v>
      </c>
      <c r="F100" s="88">
        <f t="shared" ref="F100:U100" si="86">F101</f>
        <v>1066</v>
      </c>
      <c r="G100" s="88">
        <f t="shared" si="86"/>
        <v>1066</v>
      </c>
      <c r="H100" s="88">
        <f t="shared" si="86"/>
        <v>0</v>
      </c>
      <c r="I100" s="88">
        <f t="shared" si="86"/>
        <v>0</v>
      </c>
      <c r="J100" s="88">
        <f t="shared" si="86"/>
        <v>701.4</v>
      </c>
      <c r="K100" s="88">
        <f t="shared" si="86"/>
        <v>701.4</v>
      </c>
      <c r="L100" s="88">
        <f t="shared" si="86"/>
        <v>0</v>
      </c>
      <c r="M100" s="88">
        <f t="shared" si="86"/>
        <v>0</v>
      </c>
      <c r="N100" s="88">
        <f t="shared" si="86"/>
        <v>0</v>
      </c>
      <c r="O100" s="88">
        <f t="shared" si="86"/>
        <v>0</v>
      </c>
      <c r="P100" s="88">
        <f t="shared" si="86"/>
        <v>0</v>
      </c>
      <c r="Q100" s="88">
        <f t="shared" si="86"/>
        <v>0</v>
      </c>
      <c r="R100" s="88">
        <f t="shared" si="86"/>
        <v>0</v>
      </c>
      <c r="S100" s="88">
        <f t="shared" si="86"/>
        <v>0</v>
      </c>
      <c r="T100" s="88">
        <f t="shared" si="86"/>
        <v>0</v>
      </c>
      <c r="U100" s="88">
        <f t="shared" si="86"/>
        <v>0</v>
      </c>
      <c r="V100" s="89">
        <f t="shared" si="70"/>
        <v>0.65800000000000003</v>
      </c>
    </row>
    <row r="101" spans="1:22" ht="75">
      <c r="A101" s="98"/>
      <c r="B101" s="105" t="s">
        <v>174</v>
      </c>
      <c r="C101" s="13">
        <v>815</v>
      </c>
      <c r="D101" s="14" t="s">
        <v>122</v>
      </c>
      <c r="E101" s="18" t="s">
        <v>175</v>
      </c>
      <c r="F101" s="88">
        <f t="shared" ref="F101" si="87">SUM(G101:I101)</f>
        <v>1066</v>
      </c>
      <c r="G101" s="90">
        <v>1066</v>
      </c>
      <c r="H101" s="90"/>
      <c r="I101" s="90"/>
      <c r="J101" s="88">
        <f t="shared" ref="J101" si="88">SUM(K101:M101)</f>
        <v>701.4</v>
      </c>
      <c r="K101" s="90">
        <v>701.4</v>
      </c>
      <c r="L101" s="90"/>
      <c r="M101" s="90"/>
      <c r="N101" s="88">
        <f t="shared" ref="N101" si="89">SUM(O101:Q101)</f>
        <v>0</v>
      </c>
      <c r="O101" s="90"/>
      <c r="P101" s="90"/>
      <c r="Q101" s="90"/>
      <c r="R101" s="88">
        <f t="shared" ref="R101" si="90">SUM(S101:U101)</f>
        <v>0</v>
      </c>
      <c r="S101" s="90"/>
      <c r="T101" s="90"/>
      <c r="U101" s="90"/>
      <c r="V101" s="91">
        <f t="shared" si="70"/>
        <v>0.65800000000000003</v>
      </c>
    </row>
    <row r="102" spans="1:22" ht="42.6" customHeight="1">
      <c r="A102" s="100" t="s">
        <v>176</v>
      </c>
      <c r="B102" s="111" t="s">
        <v>177</v>
      </c>
      <c r="C102" s="2" t="s">
        <v>19</v>
      </c>
      <c r="D102" s="2" t="s">
        <v>19</v>
      </c>
      <c r="E102" s="2" t="s">
        <v>19</v>
      </c>
      <c r="F102" s="86">
        <f t="shared" ref="F102:U102" si="91">F103+F107+F110+F113+F122</f>
        <v>113670.5</v>
      </c>
      <c r="G102" s="86">
        <f t="shared" si="91"/>
        <v>113670.5</v>
      </c>
      <c r="H102" s="86">
        <f t="shared" si="91"/>
        <v>0</v>
      </c>
      <c r="I102" s="86">
        <f t="shared" si="91"/>
        <v>0</v>
      </c>
      <c r="J102" s="86">
        <f t="shared" ref="J102" si="92">J103+J107+J110+J113+J122</f>
        <v>67597.399999999994</v>
      </c>
      <c r="K102" s="86">
        <f t="shared" si="91"/>
        <v>67597.399999999994</v>
      </c>
      <c r="L102" s="86">
        <f t="shared" si="91"/>
        <v>0</v>
      </c>
      <c r="M102" s="86">
        <f t="shared" si="91"/>
        <v>0</v>
      </c>
      <c r="N102" s="86">
        <f t="shared" ref="N102" si="93">N103+N107+N110+N113+N122</f>
        <v>0</v>
      </c>
      <c r="O102" s="86">
        <f t="shared" si="91"/>
        <v>0</v>
      </c>
      <c r="P102" s="86">
        <f t="shared" si="91"/>
        <v>0</v>
      </c>
      <c r="Q102" s="86">
        <f t="shared" si="91"/>
        <v>0</v>
      </c>
      <c r="R102" s="86">
        <f t="shared" ref="R102" si="94">R103+R107+R110+R113+R122</f>
        <v>0</v>
      </c>
      <c r="S102" s="86">
        <f t="shared" si="91"/>
        <v>0</v>
      </c>
      <c r="T102" s="86">
        <f t="shared" si="91"/>
        <v>0</v>
      </c>
      <c r="U102" s="86">
        <f t="shared" si="91"/>
        <v>0</v>
      </c>
      <c r="V102" s="87">
        <f t="shared" si="70"/>
        <v>0.59499999999999997</v>
      </c>
    </row>
    <row r="103" spans="1:22" ht="43.15" customHeight="1">
      <c r="A103" s="102" t="s">
        <v>178</v>
      </c>
      <c r="B103" s="103" t="s">
        <v>179</v>
      </c>
      <c r="C103" s="12" t="s">
        <v>19</v>
      </c>
      <c r="D103" s="12" t="s">
        <v>19</v>
      </c>
      <c r="E103" s="12" t="s">
        <v>19</v>
      </c>
      <c r="F103" s="88">
        <f>F104+F105+F106</f>
        <v>5306.1</v>
      </c>
      <c r="G103" s="88">
        <f>G104+G105+G106</f>
        <v>5306.1</v>
      </c>
      <c r="H103" s="88">
        <f t="shared" ref="H103" si="95">H104+H105</f>
        <v>0</v>
      </c>
      <c r="I103" s="88">
        <f>I104+I105</f>
        <v>0</v>
      </c>
      <c r="J103" s="88">
        <f>J104+J105+J106</f>
        <v>5000</v>
      </c>
      <c r="K103" s="88">
        <f t="shared" ref="K103:U103" si="96">K104+K105</f>
        <v>5000</v>
      </c>
      <c r="L103" s="88">
        <f t="shared" si="96"/>
        <v>0</v>
      </c>
      <c r="M103" s="88">
        <f t="shared" si="96"/>
        <v>0</v>
      </c>
      <c r="N103" s="88">
        <f>N104+N105+N106</f>
        <v>0</v>
      </c>
      <c r="O103" s="88">
        <f t="shared" si="96"/>
        <v>0</v>
      </c>
      <c r="P103" s="88">
        <f t="shared" si="96"/>
        <v>0</v>
      </c>
      <c r="Q103" s="88">
        <f t="shared" si="96"/>
        <v>0</v>
      </c>
      <c r="R103" s="88">
        <f>R104+R105+R106</f>
        <v>0</v>
      </c>
      <c r="S103" s="88">
        <f t="shared" si="96"/>
        <v>0</v>
      </c>
      <c r="T103" s="88">
        <f t="shared" si="96"/>
        <v>0</v>
      </c>
      <c r="U103" s="88">
        <f t="shared" si="96"/>
        <v>0</v>
      </c>
      <c r="V103" s="89">
        <f t="shared" si="70"/>
        <v>0.94199999999999995</v>
      </c>
    </row>
    <row r="104" spans="1:22" ht="66">
      <c r="A104" s="98"/>
      <c r="B104" s="105" t="s">
        <v>180</v>
      </c>
      <c r="C104" s="13">
        <v>815</v>
      </c>
      <c r="D104" s="14" t="s">
        <v>122</v>
      </c>
      <c r="E104" s="18" t="s">
        <v>181</v>
      </c>
      <c r="F104" s="88">
        <f t="shared" ref="F104:F106" si="97">SUM(G104:I104)</f>
        <v>5000</v>
      </c>
      <c r="G104" s="90">
        <f>3550+1450</f>
        <v>5000</v>
      </c>
      <c r="H104" s="90"/>
      <c r="I104" s="90"/>
      <c r="J104" s="88">
        <f t="shared" ref="J104:J106" si="98">SUM(K104:M104)</f>
        <v>5000</v>
      </c>
      <c r="K104" s="90">
        <f>3550+1450</f>
        <v>5000</v>
      </c>
      <c r="L104" s="90"/>
      <c r="M104" s="90"/>
      <c r="N104" s="88">
        <f t="shared" ref="N104:N106" si="99">SUM(O104:Q104)</f>
        <v>0</v>
      </c>
      <c r="O104" s="90"/>
      <c r="P104" s="90"/>
      <c r="Q104" s="90"/>
      <c r="R104" s="88">
        <f t="shared" ref="R104:R106" si="100">SUM(S104:U104)</f>
        <v>0</v>
      </c>
      <c r="S104" s="90"/>
      <c r="T104" s="90"/>
      <c r="U104" s="90"/>
      <c r="V104" s="91">
        <f t="shared" si="70"/>
        <v>1</v>
      </c>
    </row>
    <row r="105" spans="1:22" ht="93.75">
      <c r="A105" s="98"/>
      <c r="B105" s="105" t="s">
        <v>330</v>
      </c>
      <c r="C105" s="13">
        <v>815</v>
      </c>
      <c r="D105" s="14" t="s">
        <v>122</v>
      </c>
      <c r="E105" s="18" t="s">
        <v>329</v>
      </c>
      <c r="F105" s="88">
        <f t="shared" si="97"/>
        <v>244.9</v>
      </c>
      <c r="G105" s="90">
        <v>244.9</v>
      </c>
      <c r="H105" s="90"/>
      <c r="I105" s="90"/>
      <c r="J105" s="88">
        <f t="shared" si="98"/>
        <v>0</v>
      </c>
      <c r="K105" s="90"/>
      <c r="L105" s="90"/>
      <c r="M105" s="90"/>
      <c r="N105" s="88">
        <f t="shared" si="99"/>
        <v>0</v>
      </c>
      <c r="O105" s="90"/>
      <c r="P105" s="90"/>
      <c r="Q105" s="90"/>
      <c r="R105" s="88">
        <f t="shared" si="100"/>
        <v>0</v>
      </c>
      <c r="S105" s="90"/>
      <c r="T105" s="90"/>
      <c r="U105" s="90"/>
      <c r="V105" s="91">
        <f t="shared" si="70"/>
        <v>0</v>
      </c>
    </row>
    <row r="106" spans="1:22" ht="112.5">
      <c r="A106" s="98"/>
      <c r="B106" s="105" t="s">
        <v>332</v>
      </c>
      <c r="C106" s="13">
        <v>815</v>
      </c>
      <c r="D106" s="14" t="s">
        <v>122</v>
      </c>
      <c r="E106" s="18" t="s">
        <v>331</v>
      </c>
      <c r="F106" s="88">
        <f t="shared" si="97"/>
        <v>61.2</v>
      </c>
      <c r="G106" s="90">
        <v>61.2</v>
      </c>
      <c r="H106" s="90"/>
      <c r="I106" s="90"/>
      <c r="J106" s="88">
        <f t="shared" si="98"/>
        <v>0</v>
      </c>
      <c r="K106" s="90"/>
      <c r="L106" s="90"/>
      <c r="M106" s="90"/>
      <c r="N106" s="88">
        <f t="shared" si="99"/>
        <v>0</v>
      </c>
      <c r="O106" s="90"/>
      <c r="P106" s="90"/>
      <c r="Q106" s="90"/>
      <c r="R106" s="88">
        <f t="shared" si="100"/>
        <v>0</v>
      </c>
      <c r="S106" s="90"/>
      <c r="T106" s="90"/>
      <c r="U106" s="90"/>
      <c r="V106" s="91">
        <f t="shared" si="70"/>
        <v>0</v>
      </c>
    </row>
    <row r="107" spans="1:22" ht="40.9" customHeight="1">
      <c r="A107" s="102" t="s">
        <v>182</v>
      </c>
      <c r="B107" s="103" t="s">
        <v>183</v>
      </c>
      <c r="C107" s="12" t="s">
        <v>19</v>
      </c>
      <c r="D107" s="12" t="s">
        <v>19</v>
      </c>
      <c r="E107" s="12" t="s">
        <v>19</v>
      </c>
      <c r="F107" s="88">
        <f>F109</f>
        <v>56878.3</v>
      </c>
      <c r="G107" s="88">
        <f t="shared" ref="G107:I107" si="101">G109</f>
        <v>56878.3</v>
      </c>
      <c r="H107" s="88">
        <f t="shared" si="101"/>
        <v>0</v>
      </c>
      <c r="I107" s="88">
        <f t="shared" si="101"/>
        <v>0</v>
      </c>
      <c r="J107" s="88">
        <f>J109</f>
        <v>35000</v>
      </c>
      <c r="K107" s="88">
        <f t="shared" ref="K107:U107" si="102">SUM(K109)</f>
        <v>35000</v>
      </c>
      <c r="L107" s="88">
        <f t="shared" si="102"/>
        <v>0</v>
      </c>
      <c r="M107" s="88">
        <f t="shared" si="102"/>
        <v>0</v>
      </c>
      <c r="N107" s="88">
        <f>N109</f>
        <v>0</v>
      </c>
      <c r="O107" s="88">
        <f t="shared" si="102"/>
        <v>0</v>
      </c>
      <c r="P107" s="88">
        <f t="shared" si="102"/>
        <v>0</v>
      </c>
      <c r="Q107" s="88">
        <f t="shared" si="102"/>
        <v>0</v>
      </c>
      <c r="R107" s="88">
        <f>R109</f>
        <v>0</v>
      </c>
      <c r="S107" s="88">
        <f t="shared" si="102"/>
        <v>0</v>
      </c>
      <c r="T107" s="88">
        <f t="shared" si="102"/>
        <v>0</v>
      </c>
      <c r="U107" s="88">
        <f t="shared" si="102"/>
        <v>0</v>
      </c>
      <c r="V107" s="89">
        <f t="shared" si="70"/>
        <v>0.61499999999999999</v>
      </c>
    </row>
    <row r="108" spans="1:22" ht="18.75">
      <c r="A108" s="98"/>
      <c r="B108" s="110" t="s">
        <v>22</v>
      </c>
      <c r="C108" s="13"/>
      <c r="D108" s="14"/>
      <c r="E108" s="18"/>
      <c r="F108" s="88"/>
      <c r="G108" s="90"/>
      <c r="H108" s="90"/>
      <c r="I108" s="90"/>
      <c r="J108" s="88"/>
      <c r="K108" s="90"/>
      <c r="L108" s="90"/>
      <c r="M108" s="90"/>
      <c r="N108" s="88"/>
      <c r="O108" s="90"/>
      <c r="P108" s="90"/>
      <c r="Q108" s="90"/>
      <c r="R108" s="88"/>
      <c r="S108" s="90"/>
      <c r="T108" s="90"/>
      <c r="U108" s="90"/>
      <c r="V108" s="91"/>
    </row>
    <row r="109" spans="1:22" ht="99">
      <c r="A109" s="98"/>
      <c r="B109" s="105" t="s">
        <v>184</v>
      </c>
      <c r="C109" s="13">
        <v>840</v>
      </c>
      <c r="D109" s="14" t="s">
        <v>185</v>
      </c>
      <c r="E109" s="18" t="s">
        <v>186</v>
      </c>
      <c r="F109" s="88">
        <f t="shared" ref="F109" si="103">SUM(G109:I109)</f>
        <v>56878.3</v>
      </c>
      <c r="G109" s="90">
        <v>56878.3</v>
      </c>
      <c r="H109" s="90"/>
      <c r="I109" s="90"/>
      <c r="J109" s="88">
        <f t="shared" ref="J109" si="104">SUM(K109:M109)</f>
        <v>35000</v>
      </c>
      <c r="K109" s="90">
        <v>35000</v>
      </c>
      <c r="L109" s="90"/>
      <c r="M109" s="90"/>
      <c r="N109" s="88">
        <f t="shared" ref="N109" si="105">SUM(O109:Q109)</f>
        <v>0</v>
      </c>
      <c r="O109" s="90"/>
      <c r="P109" s="90"/>
      <c r="Q109" s="90"/>
      <c r="R109" s="88">
        <f t="shared" ref="R109" si="106">SUM(S109:U109)</f>
        <v>0</v>
      </c>
      <c r="S109" s="90"/>
      <c r="T109" s="90"/>
      <c r="U109" s="90"/>
      <c r="V109" s="91">
        <f t="shared" si="70"/>
        <v>0.61499999999999999</v>
      </c>
    </row>
    <row r="110" spans="1:22" ht="37.5">
      <c r="A110" s="102" t="s">
        <v>187</v>
      </c>
      <c r="B110" s="103" t="s">
        <v>188</v>
      </c>
      <c r="C110" s="12" t="s">
        <v>19</v>
      </c>
      <c r="D110" s="12" t="s">
        <v>19</v>
      </c>
      <c r="E110" s="12" t="s">
        <v>19</v>
      </c>
      <c r="F110" s="88">
        <f>F112</f>
        <v>1300</v>
      </c>
      <c r="G110" s="88">
        <f>SUM(G112)</f>
        <v>1300</v>
      </c>
      <c r="H110" s="88">
        <f t="shared" ref="H110:U110" si="107">SUM(H112)</f>
        <v>0</v>
      </c>
      <c r="I110" s="88">
        <f t="shared" si="107"/>
        <v>0</v>
      </c>
      <c r="J110" s="88">
        <f>J112</f>
        <v>1282.5</v>
      </c>
      <c r="K110" s="88">
        <f t="shared" si="107"/>
        <v>1282.5</v>
      </c>
      <c r="L110" s="88">
        <f t="shared" si="107"/>
        <v>0</v>
      </c>
      <c r="M110" s="88">
        <f t="shared" si="107"/>
        <v>0</v>
      </c>
      <c r="N110" s="88">
        <f>N112</f>
        <v>0</v>
      </c>
      <c r="O110" s="88">
        <f t="shared" si="107"/>
        <v>0</v>
      </c>
      <c r="P110" s="88">
        <f t="shared" si="107"/>
        <v>0</v>
      </c>
      <c r="Q110" s="88">
        <f t="shared" si="107"/>
        <v>0</v>
      </c>
      <c r="R110" s="88">
        <f>R112</f>
        <v>0</v>
      </c>
      <c r="S110" s="88">
        <f t="shared" si="107"/>
        <v>0</v>
      </c>
      <c r="T110" s="88">
        <f t="shared" si="107"/>
        <v>0</v>
      </c>
      <c r="U110" s="88">
        <f t="shared" si="107"/>
        <v>0</v>
      </c>
      <c r="V110" s="89">
        <f t="shared" si="70"/>
        <v>0.98699999999999999</v>
      </c>
    </row>
    <row r="111" spans="1:22" ht="18.75">
      <c r="A111" s="98"/>
      <c r="B111" s="105" t="s">
        <v>22</v>
      </c>
      <c r="C111" s="13"/>
      <c r="D111" s="14"/>
      <c r="E111" s="18"/>
      <c r="F111" s="88"/>
      <c r="G111" s="90"/>
      <c r="H111" s="90"/>
      <c r="I111" s="90"/>
      <c r="J111" s="88"/>
      <c r="K111" s="90"/>
      <c r="L111" s="90"/>
      <c r="M111" s="90"/>
      <c r="N111" s="88"/>
      <c r="O111" s="90"/>
      <c r="P111" s="90"/>
      <c r="Q111" s="90"/>
      <c r="R111" s="88"/>
      <c r="S111" s="90"/>
      <c r="T111" s="90"/>
      <c r="U111" s="90"/>
      <c r="V111" s="91"/>
    </row>
    <row r="112" spans="1:22" ht="75">
      <c r="A112" s="98"/>
      <c r="B112" s="105" t="s">
        <v>189</v>
      </c>
      <c r="C112" s="13">
        <v>804</v>
      </c>
      <c r="D112" s="14" t="s">
        <v>190</v>
      </c>
      <c r="E112" s="11" t="s">
        <v>191</v>
      </c>
      <c r="F112" s="88">
        <f t="shared" ref="F112" si="108">SUM(G112:I112)</f>
        <v>1300</v>
      </c>
      <c r="G112" s="90">
        <v>1300</v>
      </c>
      <c r="H112" s="90"/>
      <c r="I112" s="90"/>
      <c r="J112" s="88">
        <f t="shared" ref="J112" si="109">SUM(K112:M112)</f>
        <v>1282.5</v>
      </c>
      <c r="K112" s="90">
        <v>1282.5</v>
      </c>
      <c r="L112" s="90"/>
      <c r="M112" s="90"/>
      <c r="N112" s="88">
        <f t="shared" ref="N112" si="110">SUM(O112:Q112)</f>
        <v>0</v>
      </c>
      <c r="O112" s="90">
        <v>0</v>
      </c>
      <c r="P112" s="90"/>
      <c r="Q112" s="90"/>
      <c r="R112" s="88">
        <f t="shared" ref="R112" si="111">SUM(S112:U112)</f>
        <v>0</v>
      </c>
      <c r="S112" s="90">
        <v>0</v>
      </c>
      <c r="T112" s="90"/>
      <c r="U112" s="90"/>
      <c r="V112" s="91">
        <f t="shared" si="70"/>
        <v>0.98699999999999999</v>
      </c>
    </row>
    <row r="113" spans="1:22" ht="37.5">
      <c r="A113" s="102" t="s">
        <v>192</v>
      </c>
      <c r="B113" s="103" t="s">
        <v>193</v>
      </c>
      <c r="C113" s="12" t="s">
        <v>19</v>
      </c>
      <c r="D113" s="12" t="s">
        <v>19</v>
      </c>
      <c r="E113" s="12" t="s">
        <v>19</v>
      </c>
      <c r="F113" s="88">
        <f>SUM(F115:F121)</f>
        <v>32182.2</v>
      </c>
      <c r="G113" s="88">
        <f t="shared" ref="G113:U113" si="112">SUM(G115:G121)</f>
        <v>32182.2</v>
      </c>
      <c r="H113" s="88">
        <f t="shared" si="112"/>
        <v>0</v>
      </c>
      <c r="I113" s="88">
        <f t="shared" si="112"/>
        <v>0</v>
      </c>
      <c r="J113" s="88">
        <f>SUM(J115:J121)</f>
        <v>16010.8</v>
      </c>
      <c r="K113" s="88">
        <f t="shared" si="112"/>
        <v>16010.8</v>
      </c>
      <c r="L113" s="88">
        <f t="shared" si="112"/>
        <v>0</v>
      </c>
      <c r="M113" s="88">
        <f t="shared" si="112"/>
        <v>0</v>
      </c>
      <c r="N113" s="88">
        <f>SUM(N115:N121)</f>
        <v>0</v>
      </c>
      <c r="O113" s="88">
        <f t="shared" si="112"/>
        <v>0</v>
      </c>
      <c r="P113" s="88">
        <f t="shared" si="112"/>
        <v>0</v>
      </c>
      <c r="Q113" s="88">
        <f t="shared" si="112"/>
        <v>0</v>
      </c>
      <c r="R113" s="88">
        <f>SUM(R115:R121)</f>
        <v>0</v>
      </c>
      <c r="S113" s="88">
        <f t="shared" si="112"/>
        <v>0</v>
      </c>
      <c r="T113" s="88">
        <f t="shared" si="112"/>
        <v>0</v>
      </c>
      <c r="U113" s="88">
        <f t="shared" si="112"/>
        <v>0</v>
      </c>
      <c r="V113" s="89">
        <f t="shared" si="70"/>
        <v>0.498</v>
      </c>
    </row>
    <row r="114" spans="1:22" ht="18.75">
      <c r="A114" s="98"/>
      <c r="B114" s="110" t="s">
        <v>22</v>
      </c>
      <c r="C114" s="13"/>
      <c r="D114" s="14"/>
      <c r="E114" s="18"/>
      <c r="F114" s="88"/>
      <c r="G114" s="90"/>
      <c r="H114" s="90"/>
      <c r="I114" s="90"/>
      <c r="J114" s="88"/>
      <c r="K114" s="90"/>
      <c r="L114" s="90"/>
      <c r="M114" s="90"/>
      <c r="N114" s="88"/>
      <c r="O114" s="90"/>
      <c r="P114" s="90"/>
      <c r="Q114" s="90"/>
      <c r="R114" s="88"/>
      <c r="S114" s="90"/>
      <c r="T114" s="90"/>
      <c r="U114" s="90"/>
      <c r="V114" s="91"/>
    </row>
    <row r="115" spans="1:22" ht="56.25">
      <c r="A115" s="98"/>
      <c r="B115" s="105" t="s">
        <v>341</v>
      </c>
      <c r="C115" s="13">
        <v>804</v>
      </c>
      <c r="D115" s="14" t="s">
        <v>190</v>
      </c>
      <c r="E115" s="18" t="s">
        <v>340</v>
      </c>
      <c r="F115" s="88">
        <f t="shared" ref="F115:F121" si="113">SUM(G115:I115)</f>
        <v>3440</v>
      </c>
      <c r="G115" s="90">
        <v>3440</v>
      </c>
      <c r="H115" s="90"/>
      <c r="I115" s="90"/>
      <c r="J115" s="88">
        <f t="shared" ref="J115:J121" si="114">SUM(K115:M115)</f>
        <v>0</v>
      </c>
      <c r="K115" s="90"/>
      <c r="L115" s="90"/>
      <c r="M115" s="90"/>
      <c r="N115" s="88">
        <f t="shared" ref="N115:N121" si="115">SUM(O115:Q115)</f>
        <v>0</v>
      </c>
      <c r="O115" s="90"/>
      <c r="P115" s="90"/>
      <c r="Q115" s="90"/>
      <c r="R115" s="88">
        <f t="shared" ref="R115:R121" si="116">SUM(S115:U115)</f>
        <v>0</v>
      </c>
      <c r="S115" s="90"/>
      <c r="T115" s="90"/>
      <c r="U115" s="90"/>
      <c r="V115" s="91">
        <f t="shared" si="70"/>
        <v>0</v>
      </c>
    </row>
    <row r="116" spans="1:22" ht="75">
      <c r="A116" s="98"/>
      <c r="B116" s="105" t="s">
        <v>194</v>
      </c>
      <c r="C116" s="13">
        <v>804</v>
      </c>
      <c r="D116" s="14" t="s">
        <v>190</v>
      </c>
      <c r="E116" s="11" t="s">
        <v>195</v>
      </c>
      <c r="F116" s="88">
        <f t="shared" si="113"/>
        <v>0</v>
      </c>
      <c r="G116" s="90">
        <f>1120-1120</f>
        <v>0</v>
      </c>
      <c r="H116" s="90"/>
      <c r="I116" s="90"/>
      <c r="J116" s="88">
        <f t="shared" si="114"/>
        <v>0</v>
      </c>
      <c r="K116" s="90"/>
      <c r="L116" s="90"/>
      <c r="M116" s="90"/>
      <c r="N116" s="88">
        <f t="shared" si="115"/>
        <v>0</v>
      </c>
      <c r="O116" s="90">
        <v>0</v>
      </c>
      <c r="P116" s="90"/>
      <c r="Q116" s="90"/>
      <c r="R116" s="88">
        <f t="shared" si="116"/>
        <v>0</v>
      </c>
      <c r="S116" s="90">
        <v>0</v>
      </c>
      <c r="T116" s="90"/>
      <c r="U116" s="90"/>
      <c r="V116" s="91"/>
    </row>
    <row r="117" spans="1:22" ht="93.75">
      <c r="A117" s="98"/>
      <c r="B117" s="105" t="s">
        <v>196</v>
      </c>
      <c r="C117" s="13">
        <v>804</v>
      </c>
      <c r="D117" s="14" t="s">
        <v>190</v>
      </c>
      <c r="E117" s="11" t="s">
        <v>197</v>
      </c>
      <c r="F117" s="88">
        <f t="shared" si="113"/>
        <v>9540.5</v>
      </c>
      <c r="G117" s="90">
        <v>9540.5</v>
      </c>
      <c r="H117" s="90"/>
      <c r="I117" s="90"/>
      <c r="J117" s="88">
        <f t="shared" si="114"/>
        <v>5444</v>
      </c>
      <c r="K117" s="90">
        <v>5444</v>
      </c>
      <c r="L117" s="90"/>
      <c r="M117" s="90"/>
      <c r="N117" s="88">
        <f t="shared" si="115"/>
        <v>0</v>
      </c>
      <c r="O117" s="90">
        <v>0</v>
      </c>
      <c r="P117" s="90"/>
      <c r="Q117" s="90"/>
      <c r="R117" s="88">
        <f t="shared" si="116"/>
        <v>0</v>
      </c>
      <c r="S117" s="90">
        <v>0</v>
      </c>
      <c r="T117" s="90"/>
      <c r="U117" s="90"/>
      <c r="V117" s="91">
        <f t="shared" si="70"/>
        <v>0.57099999999999995</v>
      </c>
    </row>
    <row r="118" spans="1:22" ht="131.25">
      <c r="A118" s="98"/>
      <c r="B118" s="105" t="s">
        <v>198</v>
      </c>
      <c r="C118" s="13">
        <v>804</v>
      </c>
      <c r="D118" s="14" t="s">
        <v>190</v>
      </c>
      <c r="E118" s="11" t="s">
        <v>199</v>
      </c>
      <c r="F118" s="88">
        <f t="shared" si="113"/>
        <v>11140</v>
      </c>
      <c r="G118" s="90">
        <f>13564.52-277.56-2146.96</f>
        <v>11140</v>
      </c>
      <c r="H118" s="90"/>
      <c r="I118" s="90"/>
      <c r="J118" s="88">
        <f t="shared" si="114"/>
        <v>7275</v>
      </c>
      <c r="K118" s="90">
        <v>7275</v>
      </c>
      <c r="L118" s="90"/>
      <c r="M118" s="90"/>
      <c r="N118" s="88">
        <f t="shared" si="115"/>
        <v>0</v>
      </c>
      <c r="O118" s="90">
        <v>0</v>
      </c>
      <c r="P118" s="90"/>
      <c r="Q118" s="90"/>
      <c r="R118" s="88">
        <f t="shared" si="116"/>
        <v>0</v>
      </c>
      <c r="S118" s="90">
        <v>0</v>
      </c>
      <c r="T118" s="90"/>
      <c r="U118" s="90"/>
      <c r="V118" s="91">
        <f t="shared" si="70"/>
        <v>0.65300000000000002</v>
      </c>
    </row>
    <row r="119" spans="1:22" ht="206.25">
      <c r="A119" s="98"/>
      <c r="B119" s="105" t="s">
        <v>200</v>
      </c>
      <c r="C119" s="13">
        <v>804</v>
      </c>
      <c r="D119" s="14" t="s">
        <v>190</v>
      </c>
      <c r="E119" s="11" t="s">
        <v>201</v>
      </c>
      <c r="F119" s="88">
        <f t="shared" si="113"/>
        <v>4165.6000000000004</v>
      </c>
      <c r="G119" s="90">
        <f>4165.55</f>
        <v>4165.6000000000004</v>
      </c>
      <c r="H119" s="90"/>
      <c r="I119" s="90"/>
      <c r="J119" s="88">
        <f t="shared" si="114"/>
        <v>0</v>
      </c>
      <c r="K119" s="90"/>
      <c r="L119" s="90"/>
      <c r="M119" s="90"/>
      <c r="N119" s="88">
        <f t="shared" si="115"/>
        <v>0</v>
      </c>
      <c r="O119" s="90">
        <v>0</v>
      </c>
      <c r="P119" s="90"/>
      <c r="Q119" s="90"/>
      <c r="R119" s="88">
        <f t="shared" si="116"/>
        <v>0</v>
      </c>
      <c r="S119" s="90">
        <v>0</v>
      </c>
      <c r="T119" s="90"/>
      <c r="U119" s="90"/>
      <c r="V119" s="91">
        <f t="shared" si="70"/>
        <v>0</v>
      </c>
    </row>
    <row r="120" spans="1:22" ht="75">
      <c r="A120" s="98"/>
      <c r="B120" s="105" t="s">
        <v>202</v>
      </c>
      <c r="C120" s="13">
        <v>804</v>
      </c>
      <c r="D120" s="14" t="s">
        <v>190</v>
      </c>
      <c r="E120" s="11" t="s">
        <v>203</v>
      </c>
      <c r="F120" s="88">
        <f t="shared" si="113"/>
        <v>0</v>
      </c>
      <c r="G120" s="90">
        <f>5200-278.82-4921.18</f>
        <v>0</v>
      </c>
      <c r="H120" s="90"/>
      <c r="I120" s="90"/>
      <c r="J120" s="88">
        <f t="shared" si="114"/>
        <v>0</v>
      </c>
      <c r="K120" s="90">
        <f>0</f>
        <v>0</v>
      </c>
      <c r="L120" s="90"/>
      <c r="M120" s="90"/>
      <c r="N120" s="88">
        <f t="shared" si="115"/>
        <v>0</v>
      </c>
      <c r="O120" s="90">
        <v>0</v>
      </c>
      <c r="P120" s="90"/>
      <c r="Q120" s="90"/>
      <c r="R120" s="88">
        <f t="shared" si="116"/>
        <v>0</v>
      </c>
      <c r="S120" s="90">
        <v>0</v>
      </c>
      <c r="T120" s="90"/>
      <c r="U120" s="90"/>
      <c r="V120" s="91"/>
    </row>
    <row r="121" spans="1:22" ht="195.6" customHeight="1">
      <c r="A121" s="98"/>
      <c r="B121" s="105" t="s">
        <v>204</v>
      </c>
      <c r="C121" s="13">
        <v>804</v>
      </c>
      <c r="D121" s="14" t="s">
        <v>190</v>
      </c>
      <c r="E121" s="11" t="s">
        <v>205</v>
      </c>
      <c r="F121" s="88">
        <f t="shared" si="113"/>
        <v>3896.1</v>
      </c>
      <c r="G121" s="90">
        <f>3791.78+104.34</f>
        <v>3896.1</v>
      </c>
      <c r="H121" s="90"/>
      <c r="I121" s="90"/>
      <c r="J121" s="88">
        <f t="shared" si="114"/>
        <v>3291.8</v>
      </c>
      <c r="K121" s="90">
        <v>3291.8</v>
      </c>
      <c r="L121" s="90"/>
      <c r="M121" s="90"/>
      <c r="N121" s="88">
        <f t="shared" si="115"/>
        <v>0</v>
      </c>
      <c r="O121" s="90">
        <v>0</v>
      </c>
      <c r="P121" s="90"/>
      <c r="Q121" s="90"/>
      <c r="R121" s="88">
        <f t="shared" si="116"/>
        <v>0</v>
      </c>
      <c r="S121" s="90">
        <v>0</v>
      </c>
      <c r="T121" s="90"/>
      <c r="U121" s="90"/>
      <c r="V121" s="91">
        <f t="shared" si="70"/>
        <v>0.84499999999999997</v>
      </c>
    </row>
    <row r="122" spans="1:22" ht="39.6" customHeight="1">
      <c r="A122" s="102" t="s">
        <v>206</v>
      </c>
      <c r="B122" s="103" t="s">
        <v>207</v>
      </c>
      <c r="C122" s="12" t="s">
        <v>19</v>
      </c>
      <c r="D122" s="12" t="s">
        <v>19</v>
      </c>
      <c r="E122" s="12" t="s">
        <v>19</v>
      </c>
      <c r="F122" s="88">
        <f>SUM(F124)</f>
        <v>18003.900000000001</v>
      </c>
      <c r="G122" s="88">
        <f t="shared" ref="G122:U122" si="117">SUM(G124)</f>
        <v>18003.900000000001</v>
      </c>
      <c r="H122" s="88">
        <f t="shared" si="117"/>
        <v>0</v>
      </c>
      <c r="I122" s="88">
        <f t="shared" si="117"/>
        <v>0</v>
      </c>
      <c r="J122" s="88">
        <f>SUM(J124)</f>
        <v>10304.1</v>
      </c>
      <c r="K122" s="88">
        <f t="shared" si="117"/>
        <v>10304.1</v>
      </c>
      <c r="L122" s="88">
        <f t="shared" si="117"/>
        <v>0</v>
      </c>
      <c r="M122" s="88">
        <f t="shared" si="117"/>
        <v>0</v>
      </c>
      <c r="N122" s="88">
        <f>SUM(N124)</f>
        <v>0</v>
      </c>
      <c r="O122" s="88">
        <f t="shared" si="117"/>
        <v>0</v>
      </c>
      <c r="P122" s="88">
        <f t="shared" si="117"/>
        <v>0</v>
      </c>
      <c r="Q122" s="88">
        <f t="shared" si="117"/>
        <v>0</v>
      </c>
      <c r="R122" s="88">
        <f>SUM(R124)</f>
        <v>0</v>
      </c>
      <c r="S122" s="88">
        <f t="shared" si="117"/>
        <v>0</v>
      </c>
      <c r="T122" s="88">
        <f t="shared" si="117"/>
        <v>0</v>
      </c>
      <c r="U122" s="88">
        <f t="shared" si="117"/>
        <v>0</v>
      </c>
      <c r="V122" s="89">
        <f t="shared" si="70"/>
        <v>0.57199999999999995</v>
      </c>
    </row>
    <row r="123" spans="1:22" ht="18.75">
      <c r="A123" s="98"/>
      <c r="B123" s="110" t="s">
        <v>22</v>
      </c>
      <c r="C123" s="13"/>
      <c r="D123" s="14"/>
      <c r="E123" s="11"/>
      <c r="F123" s="88"/>
      <c r="G123" s="90"/>
      <c r="H123" s="90"/>
      <c r="I123" s="90"/>
      <c r="J123" s="88"/>
      <c r="K123" s="90"/>
      <c r="L123" s="90"/>
      <c r="M123" s="90"/>
      <c r="N123" s="88"/>
      <c r="O123" s="90"/>
      <c r="P123" s="90"/>
      <c r="Q123" s="90"/>
      <c r="R123" s="88"/>
      <c r="S123" s="90"/>
      <c r="T123" s="90"/>
      <c r="U123" s="90"/>
      <c r="V123" s="91"/>
    </row>
    <row r="124" spans="1:22" ht="78" customHeight="1">
      <c r="A124" s="98"/>
      <c r="B124" s="105" t="s">
        <v>208</v>
      </c>
      <c r="C124" s="13">
        <v>804</v>
      </c>
      <c r="D124" s="14" t="s">
        <v>190</v>
      </c>
      <c r="E124" s="11" t="s">
        <v>209</v>
      </c>
      <c r="F124" s="88">
        <f t="shared" ref="F124" si="118">SUM(G124:I124)</f>
        <v>18003.900000000001</v>
      </c>
      <c r="G124" s="90">
        <v>18003.900000000001</v>
      </c>
      <c r="H124" s="90"/>
      <c r="I124" s="90"/>
      <c r="J124" s="88">
        <f t="shared" ref="J124" si="119">SUM(K124:M124)</f>
        <v>10304.1</v>
      </c>
      <c r="K124" s="90">
        <v>10304.1</v>
      </c>
      <c r="L124" s="90"/>
      <c r="M124" s="90"/>
      <c r="N124" s="88">
        <f t="shared" ref="N124" si="120">SUM(O124:Q124)</f>
        <v>0</v>
      </c>
      <c r="O124" s="90"/>
      <c r="P124" s="90"/>
      <c r="Q124" s="90"/>
      <c r="R124" s="88">
        <f t="shared" ref="R124" si="121">SUM(S124:U124)</f>
        <v>0</v>
      </c>
      <c r="S124" s="90"/>
      <c r="T124" s="90"/>
      <c r="U124" s="90"/>
      <c r="V124" s="91">
        <f t="shared" si="70"/>
        <v>0.57199999999999995</v>
      </c>
    </row>
    <row r="125" spans="1:22" ht="37.5">
      <c r="A125" s="100" t="s">
        <v>210</v>
      </c>
      <c r="B125" s="111" t="s">
        <v>211</v>
      </c>
      <c r="C125" s="2" t="s">
        <v>19</v>
      </c>
      <c r="D125" s="2" t="s">
        <v>19</v>
      </c>
      <c r="E125" s="2" t="s">
        <v>19</v>
      </c>
      <c r="F125" s="86">
        <f t="shared" ref="F125:K125" si="122">F126+F130</f>
        <v>1184591.3</v>
      </c>
      <c r="G125" s="86">
        <f t="shared" si="122"/>
        <v>28467.7</v>
      </c>
      <c r="H125" s="86">
        <f t="shared" si="122"/>
        <v>960457.2</v>
      </c>
      <c r="I125" s="86">
        <f t="shared" si="122"/>
        <v>195666.4</v>
      </c>
      <c r="J125" s="86">
        <f t="shared" si="122"/>
        <v>232793.2</v>
      </c>
      <c r="K125" s="86">
        <f t="shared" si="122"/>
        <v>6829.7</v>
      </c>
      <c r="L125" s="86">
        <f>L126+L130</f>
        <v>220827.3</v>
      </c>
      <c r="M125" s="86">
        <f t="shared" ref="M125:U125" si="123">M126+M130</f>
        <v>5136.2</v>
      </c>
      <c r="N125" s="86">
        <f t="shared" si="123"/>
        <v>66189.100000000006</v>
      </c>
      <c r="O125" s="86">
        <f t="shared" si="123"/>
        <v>56479.6</v>
      </c>
      <c r="P125" s="86">
        <f t="shared" si="123"/>
        <v>0</v>
      </c>
      <c r="Q125" s="86">
        <f t="shared" si="123"/>
        <v>9709.5</v>
      </c>
      <c r="R125" s="86">
        <f t="shared" si="123"/>
        <v>4607.3999999999996</v>
      </c>
      <c r="S125" s="86">
        <f t="shared" si="123"/>
        <v>0</v>
      </c>
      <c r="T125" s="86">
        <f t="shared" si="123"/>
        <v>0</v>
      </c>
      <c r="U125" s="86">
        <f t="shared" si="123"/>
        <v>4607.3999999999996</v>
      </c>
      <c r="V125" s="87">
        <f t="shared" si="70"/>
        <v>0.19700000000000001</v>
      </c>
    </row>
    <row r="126" spans="1:22" ht="52.15" customHeight="1">
      <c r="A126" s="102" t="s">
        <v>212</v>
      </c>
      <c r="B126" s="103" t="s">
        <v>213</v>
      </c>
      <c r="C126" s="12" t="s">
        <v>19</v>
      </c>
      <c r="D126" s="12" t="s">
        <v>19</v>
      </c>
      <c r="E126" s="12" t="s">
        <v>19</v>
      </c>
      <c r="F126" s="88">
        <f>SUM(F128:F129)</f>
        <v>468470.7</v>
      </c>
      <c r="G126" s="88">
        <f t="shared" ref="G126:U126" si="124">SUM(G128:G129)</f>
        <v>12764</v>
      </c>
      <c r="H126" s="88">
        <f t="shared" si="124"/>
        <v>452704</v>
      </c>
      <c r="I126" s="88">
        <f t="shared" si="124"/>
        <v>3002.7</v>
      </c>
      <c r="J126" s="88">
        <f>SUM(J128:J129)</f>
        <v>206583.6</v>
      </c>
      <c r="K126" s="88">
        <f t="shared" si="124"/>
        <v>6145.1</v>
      </c>
      <c r="L126" s="88">
        <f t="shared" si="124"/>
        <v>198692.9</v>
      </c>
      <c r="M126" s="88">
        <f t="shared" si="124"/>
        <v>1745.6</v>
      </c>
      <c r="N126" s="88">
        <f>SUM(N128:N129)</f>
        <v>66189.100000000006</v>
      </c>
      <c r="O126" s="88">
        <f t="shared" si="124"/>
        <v>56479.6</v>
      </c>
      <c r="P126" s="88">
        <f t="shared" si="124"/>
        <v>0</v>
      </c>
      <c r="Q126" s="88">
        <f t="shared" si="124"/>
        <v>9709.5</v>
      </c>
      <c r="R126" s="88">
        <f>SUM(R128:R129)</f>
        <v>4607.3999999999996</v>
      </c>
      <c r="S126" s="88">
        <f t="shared" si="124"/>
        <v>0</v>
      </c>
      <c r="T126" s="88">
        <f t="shared" si="124"/>
        <v>0</v>
      </c>
      <c r="U126" s="88">
        <f t="shared" si="124"/>
        <v>4607.3999999999996</v>
      </c>
      <c r="V126" s="89">
        <f t="shared" si="70"/>
        <v>0.441</v>
      </c>
    </row>
    <row r="127" spans="1:22" ht="25.15" customHeight="1">
      <c r="A127" s="98"/>
      <c r="B127" s="104" t="s">
        <v>22</v>
      </c>
      <c r="C127" s="13"/>
      <c r="D127" s="13"/>
      <c r="E127" s="13"/>
      <c r="F127" s="88"/>
      <c r="G127" s="90"/>
      <c r="H127" s="90"/>
      <c r="I127" s="90"/>
      <c r="J127" s="88"/>
      <c r="K127" s="90"/>
      <c r="L127" s="90"/>
      <c r="M127" s="90"/>
      <c r="N127" s="88"/>
      <c r="O127" s="90"/>
      <c r="P127" s="90"/>
      <c r="Q127" s="90"/>
      <c r="R127" s="88"/>
      <c r="S127" s="90"/>
      <c r="T127" s="90"/>
      <c r="U127" s="90"/>
      <c r="V127" s="91"/>
    </row>
    <row r="128" spans="1:22" ht="44.45" customHeight="1">
      <c r="A128" s="98" t="s">
        <v>34</v>
      </c>
      <c r="B128" s="105" t="s">
        <v>214</v>
      </c>
      <c r="C128" s="13">
        <v>821</v>
      </c>
      <c r="D128" s="14" t="s">
        <v>36</v>
      </c>
      <c r="E128" s="13" t="s">
        <v>215</v>
      </c>
      <c r="F128" s="88">
        <f t="shared" ref="F128:F129" si="125">SUM(G128:I128)</f>
        <v>428470.7</v>
      </c>
      <c r="G128" s="90">
        <v>12764</v>
      </c>
      <c r="H128" s="90">
        <v>412704</v>
      </c>
      <c r="I128" s="90">
        <v>3002.7</v>
      </c>
      <c r="J128" s="88">
        <f t="shared" ref="J128:J129" si="126">SUM(K128:M128)</f>
        <v>206583.6</v>
      </c>
      <c r="K128" s="90">
        <v>6145.1</v>
      </c>
      <c r="L128" s="90">
        <v>198692.9</v>
      </c>
      <c r="M128" s="90">
        <v>1745.6</v>
      </c>
      <c r="N128" s="88">
        <f t="shared" ref="N128:N129" si="127">SUM(O128:Q128)</f>
        <v>53679.6</v>
      </c>
      <c r="O128" s="90">
        <v>52579.6</v>
      </c>
      <c r="P128" s="90"/>
      <c r="Q128" s="90">
        <v>1100</v>
      </c>
      <c r="R128" s="88">
        <f t="shared" ref="R128:R129" si="128">SUM(S128:U128)</f>
        <v>1100</v>
      </c>
      <c r="S128" s="90"/>
      <c r="T128" s="90"/>
      <c r="U128" s="90">
        <v>1100</v>
      </c>
      <c r="V128" s="91">
        <f t="shared" si="70"/>
        <v>0.48199999999999998</v>
      </c>
    </row>
    <row r="129" spans="1:22" ht="102.6" customHeight="1">
      <c r="A129" s="98" t="s">
        <v>23</v>
      </c>
      <c r="B129" s="105" t="s">
        <v>216</v>
      </c>
      <c r="C129" s="13">
        <v>821</v>
      </c>
      <c r="D129" s="14" t="s">
        <v>36</v>
      </c>
      <c r="E129" s="13" t="s">
        <v>217</v>
      </c>
      <c r="F129" s="88">
        <f t="shared" si="125"/>
        <v>40000</v>
      </c>
      <c r="G129" s="90"/>
      <c r="H129" s="95">
        <v>40000</v>
      </c>
      <c r="I129" s="90"/>
      <c r="J129" s="88">
        <f t="shared" si="126"/>
        <v>0</v>
      </c>
      <c r="K129" s="90"/>
      <c r="L129" s="90"/>
      <c r="M129" s="90"/>
      <c r="N129" s="88">
        <f t="shared" si="127"/>
        <v>12509.5</v>
      </c>
      <c r="O129" s="90">
        <v>3900</v>
      </c>
      <c r="P129" s="90"/>
      <c r="Q129" s="90">
        <v>8609.5</v>
      </c>
      <c r="R129" s="88">
        <f t="shared" si="128"/>
        <v>3507.4</v>
      </c>
      <c r="S129" s="90"/>
      <c r="T129" s="90"/>
      <c r="U129" s="90">
        <v>3507.4</v>
      </c>
      <c r="V129" s="91">
        <f t="shared" si="70"/>
        <v>0</v>
      </c>
    </row>
    <row r="130" spans="1:22" ht="86.45" customHeight="1">
      <c r="A130" s="102" t="s">
        <v>218</v>
      </c>
      <c r="B130" s="103" t="s">
        <v>219</v>
      </c>
      <c r="C130" s="12" t="s">
        <v>19</v>
      </c>
      <c r="D130" s="12" t="s">
        <v>19</v>
      </c>
      <c r="E130" s="12" t="s">
        <v>19</v>
      </c>
      <c r="F130" s="88">
        <f>SUM(F131:F136)</f>
        <v>716120.6</v>
      </c>
      <c r="G130" s="88">
        <f t="shared" ref="G130:I130" si="129">SUM(G131:G136)</f>
        <v>15703.7</v>
      </c>
      <c r="H130" s="88">
        <f t="shared" si="129"/>
        <v>507753.2</v>
      </c>
      <c r="I130" s="88">
        <f t="shared" si="129"/>
        <v>192663.7</v>
      </c>
      <c r="J130" s="88">
        <f>SUM(J131:J136)</f>
        <v>26209.599999999999</v>
      </c>
      <c r="K130" s="88">
        <f t="shared" ref="K130" si="130">SUM(K131:K136)</f>
        <v>684.6</v>
      </c>
      <c r="L130" s="88">
        <f t="shared" ref="L130" si="131">SUM(L131:L136)</f>
        <v>22134.400000000001</v>
      </c>
      <c r="M130" s="88">
        <f t="shared" ref="M130" si="132">SUM(M131:M136)</f>
        <v>3390.6</v>
      </c>
      <c r="N130" s="88">
        <f>SUM(N131:N136)</f>
        <v>0</v>
      </c>
      <c r="O130" s="88">
        <f t="shared" ref="O130" si="133">SUM(O131:O136)</f>
        <v>0</v>
      </c>
      <c r="P130" s="88">
        <f t="shared" ref="P130" si="134">SUM(P131:P136)</f>
        <v>0</v>
      </c>
      <c r="Q130" s="88">
        <f t="shared" ref="Q130" si="135">SUM(Q131:Q136)</f>
        <v>0</v>
      </c>
      <c r="R130" s="88">
        <f>SUM(R131:R136)</f>
        <v>0</v>
      </c>
      <c r="S130" s="88">
        <f t="shared" ref="S130" si="136">SUM(S131:S136)</f>
        <v>0</v>
      </c>
      <c r="T130" s="88">
        <f t="shared" ref="T130" si="137">SUM(T131:T136)</f>
        <v>0</v>
      </c>
      <c r="U130" s="88">
        <f t="shared" ref="U130" si="138">SUM(U131:U136)</f>
        <v>0</v>
      </c>
      <c r="V130" s="89">
        <f t="shared" si="70"/>
        <v>3.6999999999999998E-2</v>
      </c>
    </row>
    <row r="131" spans="1:22" ht="97.9" customHeight="1">
      <c r="A131" s="98"/>
      <c r="B131" s="105" t="s">
        <v>220</v>
      </c>
      <c r="C131" s="13">
        <v>821</v>
      </c>
      <c r="D131" s="14" t="s">
        <v>36</v>
      </c>
      <c r="E131" s="13" t="s">
        <v>221</v>
      </c>
      <c r="F131" s="88">
        <f t="shared" ref="F131:F136" si="139">SUM(G131:I131)</f>
        <v>0</v>
      </c>
      <c r="G131" s="90"/>
      <c r="H131" s="90">
        <f>473247.15-473247.15</f>
        <v>0</v>
      </c>
      <c r="I131" s="97"/>
      <c r="J131" s="88">
        <f t="shared" ref="J131:J136" si="140">SUM(K131:M131)</f>
        <v>0</v>
      </c>
      <c r="K131" s="90"/>
      <c r="L131" s="90"/>
      <c r="M131" s="90"/>
      <c r="N131" s="88">
        <f t="shared" ref="N131:N136" si="141">SUM(O131:Q131)</f>
        <v>0</v>
      </c>
      <c r="O131" s="90"/>
      <c r="P131" s="90"/>
      <c r="Q131" s="90"/>
      <c r="R131" s="88">
        <f t="shared" ref="R131:R136" si="142">SUM(S131:U131)</f>
        <v>0</v>
      </c>
      <c r="S131" s="90"/>
      <c r="T131" s="90"/>
      <c r="U131" s="90"/>
      <c r="V131" s="91"/>
    </row>
    <row r="132" spans="1:22" ht="50.45" customHeight="1">
      <c r="A132" s="98"/>
      <c r="B132" s="105" t="s">
        <v>222</v>
      </c>
      <c r="C132" s="13">
        <v>821</v>
      </c>
      <c r="D132" s="14" t="s">
        <v>36</v>
      </c>
      <c r="E132" s="13" t="s">
        <v>223</v>
      </c>
      <c r="F132" s="88">
        <f t="shared" si="139"/>
        <v>0</v>
      </c>
      <c r="G132" s="90">
        <f>14636.51-14636.51</f>
        <v>0</v>
      </c>
      <c r="H132" s="90"/>
      <c r="I132" s="97"/>
      <c r="J132" s="88">
        <f t="shared" si="140"/>
        <v>0</v>
      </c>
      <c r="K132" s="90"/>
      <c r="L132" s="90"/>
      <c r="M132" s="90"/>
      <c r="N132" s="88">
        <f t="shared" si="141"/>
        <v>0</v>
      </c>
      <c r="O132" s="90"/>
      <c r="P132" s="90"/>
      <c r="Q132" s="90"/>
      <c r="R132" s="88">
        <f t="shared" si="142"/>
        <v>0</v>
      </c>
      <c r="S132" s="90"/>
      <c r="T132" s="90"/>
      <c r="U132" s="90"/>
      <c r="V132" s="91"/>
    </row>
    <row r="133" spans="1:22" ht="97.15" customHeight="1">
      <c r="A133" s="98"/>
      <c r="B133" s="105" t="s">
        <v>224</v>
      </c>
      <c r="C133" s="13">
        <v>821</v>
      </c>
      <c r="D133" s="14" t="s">
        <v>36</v>
      </c>
      <c r="E133" s="13" t="s">
        <v>225</v>
      </c>
      <c r="F133" s="88">
        <f t="shared" si="139"/>
        <v>0</v>
      </c>
      <c r="G133" s="90"/>
      <c r="H133" s="90">
        <f>34506.05-34506.05</f>
        <v>0</v>
      </c>
      <c r="I133" s="97"/>
      <c r="J133" s="88">
        <f t="shared" si="140"/>
        <v>0</v>
      </c>
      <c r="K133" s="90"/>
      <c r="L133" s="90"/>
      <c r="M133" s="90"/>
      <c r="N133" s="88">
        <f t="shared" si="141"/>
        <v>0</v>
      </c>
      <c r="O133" s="90"/>
      <c r="P133" s="90"/>
      <c r="Q133" s="90"/>
      <c r="R133" s="88">
        <f t="shared" si="142"/>
        <v>0</v>
      </c>
      <c r="S133" s="90"/>
      <c r="T133" s="90"/>
      <c r="U133" s="90"/>
      <c r="V133" s="91"/>
    </row>
    <row r="134" spans="1:22" ht="62.45" customHeight="1">
      <c r="A134" s="98"/>
      <c r="B134" s="105" t="s">
        <v>226</v>
      </c>
      <c r="C134" s="13">
        <v>821</v>
      </c>
      <c r="D134" s="14" t="s">
        <v>36</v>
      </c>
      <c r="E134" s="13" t="s">
        <v>227</v>
      </c>
      <c r="F134" s="88">
        <f t="shared" si="139"/>
        <v>0</v>
      </c>
      <c r="G134" s="90">
        <f>1067.2-1067.2</f>
        <v>0</v>
      </c>
      <c r="H134" s="90"/>
      <c r="I134" s="97"/>
      <c r="J134" s="88">
        <f t="shared" si="140"/>
        <v>0</v>
      </c>
      <c r="K134" s="90"/>
      <c r="L134" s="90"/>
      <c r="M134" s="90"/>
      <c r="N134" s="88">
        <f t="shared" si="141"/>
        <v>0</v>
      </c>
      <c r="O134" s="90"/>
      <c r="P134" s="90"/>
      <c r="Q134" s="90"/>
      <c r="R134" s="88">
        <f t="shared" si="142"/>
        <v>0</v>
      </c>
      <c r="S134" s="90"/>
      <c r="T134" s="90"/>
      <c r="U134" s="90"/>
      <c r="V134" s="91"/>
    </row>
    <row r="135" spans="1:22" ht="97.15" customHeight="1">
      <c r="A135" s="102" t="s">
        <v>335</v>
      </c>
      <c r="B135" s="105" t="s">
        <v>336</v>
      </c>
      <c r="C135" s="13">
        <v>821</v>
      </c>
      <c r="D135" s="14" t="s">
        <v>36</v>
      </c>
      <c r="E135" s="13" t="s">
        <v>337</v>
      </c>
      <c r="F135" s="88">
        <f t="shared" si="139"/>
        <v>700416.9</v>
      </c>
      <c r="G135" s="90"/>
      <c r="H135" s="90">
        <v>507753.2</v>
      </c>
      <c r="I135" s="115">
        <f>192663.7</f>
        <v>192663.7</v>
      </c>
      <c r="J135" s="88">
        <f t="shared" si="140"/>
        <v>25525</v>
      </c>
      <c r="K135" s="90"/>
      <c r="L135" s="90">
        <v>22134.400000000001</v>
      </c>
      <c r="M135" s="115">
        <v>3390.6</v>
      </c>
      <c r="N135" s="88">
        <f t="shared" si="141"/>
        <v>0</v>
      </c>
      <c r="O135" s="90"/>
      <c r="P135" s="90"/>
      <c r="Q135" s="90"/>
      <c r="R135" s="88">
        <f t="shared" si="142"/>
        <v>0</v>
      </c>
      <c r="S135" s="90"/>
      <c r="T135" s="90"/>
      <c r="U135" s="90"/>
      <c r="V135" s="91">
        <f t="shared" si="70"/>
        <v>3.5999999999999997E-2</v>
      </c>
    </row>
    <row r="136" spans="1:22" ht="66">
      <c r="A136" s="98"/>
      <c r="B136" s="105" t="s">
        <v>338</v>
      </c>
      <c r="C136" s="13">
        <v>821</v>
      </c>
      <c r="D136" s="14" t="s">
        <v>36</v>
      </c>
      <c r="E136" s="13" t="s">
        <v>339</v>
      </c>
      <c r="F136" s="88">
        <f t="shared" si="139"/>
        <v>15703.7</v>
      </c>
      <c r="G136" s="90">
        <v>15703.7</v>
      </c>
      <c r="H136" s="90"/>
      <c r="I136" s="116"/>
      <c r="J136" s="88">
        <f t="shared" si="140"/>
        <v>684.6</v>
      </c>
      <c r="K136" s="90">
        <v>684.6</v>
      </c>
      <c r="L136" s="90"/>
      <c r="M136" s="116"/>
      <c r="N136" s="88">
        <f t="shared" si="141"/>
        <v>0</v>
      </c>
      <c r="O136" s="90"/>
      <c r="P136" s="90"/>
      <c r="Q136" s="90"/>
      <c r="R136" s="88">
        <f t="shared" si="142"/>
        <v>0</v>
      </c>
      <c r="S136" s="90"/>
      <c r="T136" s="90"/>
      <c r="U136" s="90"/>
      <c r="V136" s="91">
        <f t="shared" si="70"/>
        <v>4.3999999999999997E-2</v>
      </c>
    </row>
    <row r="137" spans="1:22" ht="18.75">
      <c r="A137" s="100" t="s">
        <v>228</v>
      </c>
      <c r="B137" s="101" t="s">
        <v>229</v>
      </c>
      <c r="C137" s="2" t="s">
        <v>19</v>
      </c>
      <c r="D137" s="2" t="s">
        <v>19</v>
      </c>
      <c r="E137" s="2" t="s">
        <v>19</v>
      </c>
      <c r="F137" s="86">
        <f>F138+F143+F146+F149</f>
        <v>179846.2</v>
      </c>
      <c r="G137" s="86">
        <f>G138+G143+G146+G149</f>
        <v>38152</v>
      </c>
      <c r="H137" s="86">
        <f>H138+H143+H146+H149</f>
        <v>125409</v>
      </c>
      <c r="I137" s="86">
        <f>I138+I143+I149+I146</f>
        <v>16285.2</v>
      </c>
      <c r="J137" s="86">
        <f>J138+J143+J146+J149</f>
        <v>64639.4</v>
      </c>
      <c r="K137" s="86">
        <f t="shared" ref="K137:U137" si="143">K138+K143+K146+K149</f>
        <v>1723.4</v>
      </c>
      <c r="L137" s="86">
        <f t="shared" si="143"/>
        <v>61566.7</v>
      </c>
      <c r="M137" s="86">
        <f t="shared" si="143"/>
        <v>1349.3</v>
      </c>
      <c r="N137" s="86">
        <f>N138+N143+N146+N149</f>
        <v>190288.4</v>
      </c>
      <c r="O137" s="86">
        <f t="shared" si="143"/>
        <v>53681.9</v>
      </c>
      <c r="P137" s="86">
        <f t="shared" si="143"/>
        <v>123539.1</v>
      </c>
      <c r="Q137" s="86">
        <f t="shared" si="143"/>
        <v>13067.4</v>
      </c>
      <c r="R137" s="86">
        <f>R138+R143+R146+R149</f>
        <v>313163.7</v>
      </c>
      <c r="S137" s="86">
        <f t="shared" si="143"/>
        <v>109904.4</v>
      </c>
      <c r="T137" s="86">
        <f t="shared" si="143"/>
        <v>189556.1</v>
      </c>
      <c r="U137" s="86">
        <f t="shared" si="143"/>
        <v>13703.2</v>
      </c>
      <c r="V137" s="87">
        <f t="shared" ref="V137:V198" si="144">J137/F137</f>
        <v>0.35899999999999999</v>
      </c>
    </row>
    <row r="138" spans="1:22" ht="38.450000000000003" customHeight="1">
      <c r="A138" s="102" t="s">
        <v>230</v>
      </c>
      <c r="B138" s="103" t="s">
        <v>231</v>
      </c>
      <c r="C138" s="12" t="s">
        <v>19</v>
      </c>
      <c r="D138" s="12" t="s">
        <v>19</v>
      </c>
      <c r="E138" s="12" t="s">
        <v>19</v>
      </c>
      <c r="F138" s="88">
        <f>SUM(F140:F142)</f>
        <v>97207.3</v>
      </c>
      <c r="G138" s="88">
        <f t="shared" ref="G138:U138" si="145">SUM(G140:G142)</f>
        <v>137</v>
      </c>
      <c r="H138" s="88">
        <f t="shared" si="145"/>
        <v>97070.3</v>
      </c>
      <c r="I138" s="88">
        <f t="shared" si="145"/>
        <v>0</v>
      </c>
      <c r="J138" s="88">
        <f>SUM(J140:J142)</f>
        <v>59242.400000000001</v>
      </c>
      <c r="K138" s="88">
        <f t="shared" si="145"/>
        <v>137</v>
      </c>
      <c r="L138" s="88">
        <f t="shared" si="145"/>
        <v>59105.4</v>
      </c>
      <c r="M138" s="88">
        <f t="shared" si="145"/>
        <v>0</v>
      </c>
      <c r="N138" s="88">
        <f>SUM(N140:N142)</f>
        <v>59093.7</v>
      </c>
      <c r="O138" s="88">
        <f t="shared" si="145"/>
        <v>1882.7</v>
      </c>
      <c r="P138" s="88">
        <f t="shared" si="145"/>
        <v>57211</v>
      </c>
      <c r="Q138" s="88">
        <f t="shared" si="145"/>
        <v>0</v>
      </c>
      <c r="R138" s="88">
        <f>SUM(R140:R142)</f>
        <v>50635.3</v>
      </c>
      <c r="S138" s="88">
        <f t="shared" si="145"/>
        <v>1905.1</v>
      </c>
      <c r="T138" s="88">
        <f t="shared" si="145"/>
        <v>48730.2</v>
      </c>
      <c r="U138" s="88">
        <f t="shared" si="145"/>
        <v>0</v>
      </c>
      <c r="V138" s="89">
        <f t="shared" si="144"/>
        <v>0.60899999999999999</v>
      </c>
    </row>
    <row r="139" spans="1:22" ht="18.75">
      <c r="A139" s="98"/>
      <c r="B139" s="104" t="s">
        <v>22</v>
      </c>
      <c r="C139" s="13"/>
      <c r="D139" s="13"/>
      <c r="E139" s="13"/>
      <c r="F139" s="88"/>
      <c r="G139" s="90"/>
      <c r="H139" s="90"/>
      <c r="I139" s="90"/>
      <c r="J139" s="88"/>
      <c r="K139" s="90"/>
      <c r="L139" s="90"/>
      <c r="M139" s="90"/>
      <c r="N139" s="88"/>
      <c r="O139" s="90"/>
      <c r="P139" s="90"/>
      <c r="Q139" s="90"/>
      <c r="R139" s="88"/>
      <c r="S139" s="90"/>
      <c r="T139" s="90"/>
      <c r="U139" s="90"/>
      <c r="V139" s="91"/>
    </row>
    <row r="140" spans="1:22" ht="49.5">
      <c r="A140" s="98" t="s">
        <v>66</v>
      </c>
      <c r="B140" s="112" t="s">
        <v>232</v>
      </c>
      <c r="C140" s="13">
        <v>838</v>
      </c>
      <c r="D140" s="14" t="s">
        <v>233</v>
      </c>
      <c r="E140" s="13" t="s">
        <v>234</v>
      </c>
      <c r="F140" s="88">
        <f t="shared" ref="F140:F142" si="146">SUM(G140:I140)</f>
        <v>4566.2</v>
      </c>
      <c r="G140" s="90">
        <v>137</v>
      </c>
      <c r="H140" s="90">
        <f>4429.2</f>
        <v>4429.2</v>
      </c>
      <c r="I140" s="90"/>
      <c r="J140" s="88">
        <f t="shared" ref="J140:J142" si="147">SUM(K140:M140)</f>
        <v>4566.2</v>
      </c>
      <c r="K140" s="90">
        <v>137</v>
      </c>
      <c r="L140" s="90">
        <f>4097.1+332.1</f>
        <v>4429.2</v>
      </c>
      <c r="M140" s="90"/>
      <c r="N140" s="88">
        <f t="shared" ref="N140:N142" si="148">SUM(O140:Q140)</f>
        <v>4129.7</v>
      </c>
      <c r="O140" s="90">
        <v>123.9</v>
      </c>
      <c r="P140" s="90">
        <v>4005.8</v>
      </c>
      <c r="Q140" s="90"/>
      <c r="R140" s="88">
        <f t="shared" ref="R140:R142" si="149">SUM(S140:U140)</f>
        <v>3989.9</v>
      </c>
      <c r="S140" s="90">
        <v>119.7</v>
      </c>
      <c r="T140" s="90">
        <v>3870.2</v>
      </c>
      <c r="U140" s="90"/>
      <c r="V140" s="91">
        <f t="shared" si="144"/>
        <v>1</v>
      </c>
    </row>
    <row r="141" spans="1:22" ht="131.25">
      <c r="A141" s="98" t="s">
        <v>66</v>
      </c>
      <c r="B141" s="105" t="s">
        <v>235</v>
      </c>
      <c r="C141" s="13">
        <v>838</v>
      </c>
      <c r="D141" s="14" t="s">
        <v>233</v>
      </c>
      <c r="E141" s="13" t="s">
        <v>236</v>
      </c>
      <c r="F141" s="88">
        <f t="shared" si="146"/>
        <v>11182.2</v>
      </c>
      <c r="G141" s="90">
        <f>345.8-345.8</f>
        <v>0</v>
      </c>
      <c r="H141" s="90">
        <v>11182.2</v>
      </c>
      <c r="I141" s="90"/>
      <c r="J141" s="88">
        <f t="shared" si="147"/>
        <v>5589.2</v>
      </c>
      <c r="K141" s="90"/>
      <c r="L141" s="90">
        <v>5589.2</v>
      </c>
      <c r="M141" s="90"/>
      <c r="N141" s="88">
        <f t="shared" si="148"/>
        <v>11528</v>
      </c>
      <c r="O141" s="90">
        <v>345.8</v>
      </c>
      <c r="P141" s="90">
        <v>11182.2</v>
      </c>
      <c r="Q141" s="90"/>
      <c r="R141" s="88">
        <f t="shared" si="149"/>
        <v>12414.8</v>
      </c>
      <c r="S141" s="90">
        <v>372.4</v>
      </c>
      <c r="T141" s="90">
        <v>12042.4</v>
      </c>
      <c r="U141" s="90"/>
      <c r="V141" s="91">
        <f t="shared" si="144"/>
        <v>0.5</v>
      </c>
    </row>
    <row r="142" spans="1:22" ht="131.25">
      <c r="A142" s="98" t="s">
        <v>66</v>
      </c>
      <c r="B142" s="105" t="s">
        <v>237</v>
      </c>
      <c r="C142" s="13">
        <v>838</v>
      </c>
      <c r="D142" s="14" t="s">
        <v>233</v>
      </c>
      <c r="E142" s="13" t="s">
        <v>238</v>
      </c>
      <c r="F142" s="88">
        <f t="shared" si="146"/>
        <v>81458.899999999994</v>
      </c>
      <c r="G142" s="90">
        <f>1413-1413</f>
        <v>0</v>
      </c>
      <c r="H142" s="90">
        <v>81458.899999999994</v>
      </c>
      <c r="I142" s="90"/>
      <c r="J142" s="88">
        <f t="shared" si="147"/>
        <v>49087</v>
      </c>
      <c r="K142" s="90"/>
      <c r="L142" s="90">
        <v>49087</v>
      </c>
      <c r="M142" s="90"/>
      <c r="N142" s="88">
        <f t="shared" si="148"/>
        <v>43436</v>
      </c>
      <c r="O142" s="90">
        <v>1413</v>
      </c>
      <c r="P142" s="90">
        <v>42023</v>
      </c>
      <c r="Q142" s="90"/>
      <c r="R142" s="88">
        <f t="shared" si="149"/>
        <v>34230.6</v>
      </c>
      <c r="S142" s="90">
        <v>1413</v>
      </c>
      <c r="T142" s="90">
        <v>32817.599999999999</v>
      </c>
      <c r="U142" s="90"/>
      <c r="V142" s="91">
        <f t="shared" si="144"/>
        <v>0.60299999999999998</v>
      </c>
    </row>
    <row r="143" spans="1:22" ht="37.5">
      <c r="A143" s="102" t="s">
        <v>239</v>
      </c>
      <c r="B143" s="103" t="s">
        <v>240</v>
      </c>
      <c r="C143" s="12" t="s">
        <v>19</v>
      </c>
      <c r="D143" s="12" t="s">
        <v>19</v>
      </c>
      <c r="E143" s="12" t="s">
        <v>19</v>
      </c>
      <c r="F143" s="88">
        <f>F145</f>
        <v>62138.3</v>
      </c>
      <c r="G143" s="88">
        <f t="shared" ref="G143:U143" si="150">G145</f>
        <v>18265</v>
      </c>
      <c r="H143" s="88">
        <f t="shared" si="150"/>
        <v>28338.7</v>
      </c>
      <c r="I143" s="88">
        <f t="shared" si="150"/>
        <v>15534.6</v>
      </c>
      <c r="J143" s="88">
        <f>J145</f>
        <v>5397</v>
      </c>
      <c r="K143" s="88">
        <f t="shared" si="150"/>
        <v>1586.4</v>
      </c>
      <c r="L143" s="88">
        <f t="shared" si="150"/>
        <v>2461.3000000000002</v>
      </c>
      <c r="M143" s="88">
        <f t="shared" si="150"/>
        <v>1349.3</v>
      </c>
      <c r="N143" s="88">
        <f>N145</f>
        <v>129432.5</v>
      </c>
      <c r="O143" s="88">
        <f t="shared" si="150"/>
        <v>50037</v>
      </c>
      <c r="P143" s="88">
        <f t="shared" si="150"/>
        <v>66328.100000000006</v>
      </c>
      <c r="Q143" s="88">
        <f t="shared" si="150"/>
        <v>13067.4</v>
      </c>
      <c r="R143" s="88">
        <f>R145</f>
        <v>260766.2</v>
      </c>
      <c r="S143" s="88">
        <f t="shared" si="150"/>
        <v>106237.1</v>
      </c>
      <c r="T143" s="88">
        <f t="shared" si="150"/>
        <v>140825.9</v>
      </c>
      <c r="U143" s="88">
        <f t="shared" si="150"/>
        <v>13703.2</v>
      </c>
      <c r="V143" s="89">
        <f t="shared" si="144"/>
        <v>8.6999999999999994E-2</v>
      </c>
    </row>
    <row r="144" spans="1:22" ht="18.75">
      <c r="A144" s="98"/>
      <c r="B144" s="104" t="s">
        <v>22</v>
      </c>
      <c r="C144" s="13"/>
      <c r="D144" s="13"/>
      <c r="E144" s="13"/>
      <c r="F144" s="88"/>
      <c r="G144" s="90"/>
      <c r="H144" s="90"/>
      <c r="I144" s="90"/>
      <c r="J144" s="88"/>
      <c r="K144" s="90"/>
      <c r="L144" s="90"/>
      <c r="M144" s="90"/>
      <c r="N144" s="88"/>
      <c r="O144" s="90"/>
      <c r="P144" s="90"/>
      <c r="Q144" s="90"/>
      <c r="R144" s="88"/>
      <c r="S144" s="90"/>
      <c r="T144" s="90"/>
      <c r="U144" s="90"/>
      <c r="V144" s="91"/>
    </row>
    <row r="145" spans="1:22" ht="74.45" customHeight="1">
      <c r="A145" s="98" t="s">
        <v>34</v>
      </c>
      <c r="B145" s="105" t="s">
        <v>241</v>
      </c>
      <c r="C145" s="13">
        <v>828</v>
      </c>
      <c r="D145" s="14" t="s">
        <v>242</v>
      </c>
      <c r="E145" s="13" t="s">
        <v>243</v>
      </c>
      <c r="F145" s="88">
        <f t="shared" ref="F145" si="151">SUM(G145:I145)</f>
        <v>62138.3</v>
      </c>
      <c r="G145" s="90">
        <v>18265</v>
      </c>
      <c r="H145" s="90">
        <v>28338.7</v>
      </c>
      <c r="I145" s="90">
        <v>15534.6</v>
      </c>
      <c r="J145" s="88">
        <f t="shared" ref="J145" si="152">SUM(K145:M145)</f>
        <v>5397</v>
      </c>
      <c r="K145" s="90">
        <v>1586.4</v>
      </c>
      <c r="L145" s="90">
        <v>2461.3000000000002</v>
      </c>
      <c r="M145" s="90">
        <v>1349.3</v>
      </c>
      <c r="N145" s="88">
        <f t="shared" ref="N145" si="153">SUM(O145:Q145)</f>
        <v>129432.5</v>
      </c>
      <c r="O145" s="90">
        <v>50037</v>
      </c>
      <c r="P145" s="90">
        <v>66328.100000000006</v>
      </c>
      <c r="Q145" s="90">
        <v>13067.4</v>
      </c>
      <c r="R145" s="88">
        <f t="shared" ref="R145" si="154">SUM(S145:U145)</f>
        <v>260766.2</v>
      </c>
      <c r="S145" s="90">
        <v>106237.1</v>
      </c>
      <c r="T145" s="90">
        <v>140825.9</v>
      </c>
      <c r="U145" s="90">
        <v>13703.2</v>
      </c>
      <c r="V145" s="91">
        <f t="shared" si="144"/>
        <v>8.6999999999999994E-2</v>
      </c>
    </row>
    <row r="146" spans="1:22" ht="75">
      <c r="A146" s="102" t="s">
        <v>244</v>
      </c>
      <c r="B146" s="103" t="s">
        <v>245</v>
      </c>
      <c r="C146" s="12" t="s">
        <v>19</v>
      </c>
      <c r="D146" s="12" t="s">
        <v>19</v>
      </c>
      <c r="E146" s="12" t="s">
        <v>19</v>
      </c>
      <c r="F146" s="88">
        <f t="shared" ref="F146:U146" si="155">SUM(F148:F148)</f>
        <v>10750.6</v>
      </c>
      <c r="G146" s="88">
        <f t="shared" si="155"/>
        <v>10000</v>
      </c>
      <c r="H146" s="88">
        <f t="shared" si="155"/>
        <v>0</v>
      </c>
      <c r="I146" s="88">
        <f t="shared" si="155"/>
        <v>750.6</v>
      </c>
      <c r="J146" s="88">
        <f t="shared" ref="J146" si="156">SUM(J148:J148)</f>
        <v>0</v>
      </c>
      <c r="K146" s="88">
        <f t="shared" si="155"/>
        <v>0</v>
      </c>
      <c r="L146" s="88">
        <f t="shared" si="155"/>
        <v>0</v>
      </c>
      <c r="M146" s="88">
        <f t="shared" si="155"/>
        <v>0</v>
      </c>
      <c r="N146" s="88">
        <f t="shared" ref="N146" si="157">SUM(N148:N148)</f>
        <v>0</v>
      </c>
      <c r="O146" s="88">
        <f t="shared" si="155"/>
        <v>0</v>
      </c>
      <c r="P146" s="88">
        <f t="shared" si="155"/>
        <v>0</v>
      </c>
      <c r="Q146" s="88">
        <f t="shared" si="155"/>
        <v>0</v>
      </c>
      <c r="R146" s="88">
        <f t="shared" ref="R146" si="158">SUM(R148:R148)</f>
        <v>0</v>
      </c>
      <c r="S146" s="88">
        <f t="shared" si="155"/>
        <v>0</v>
      </c>
      <c r="T146" s="88">
        <f t="shared" si="155"/>
        <v>0</v>
      </c>
      <c r="U146" s="88">
        <f t="shared" si="155"/>
        <v>0</v>
      </c>
      <c r="V146" s="89">
        <f t="shared" si="144"/>
        <v>0</v>
      </c>
    </row>
    <row r="147" spans="1:22" ht="18.75">
      <c r="A147" s="98"/>
      <c r="B147" s="104" t="s">
        <v>22</v>
      </c>
      <c r="C147" s="13"/>
      <c r="D147" s="13"/>
      <c r="E147" s="13"/>
      <c r="F147" s="88"/>
      <c r="G147" s="90"/>
      <c r="H147" s="90"/>
      <c r="I147" s="90"/>
      <c r="J147" s="88"/>
      <c r="K147" s="90"/>
      <c r="L147" s="90"/>
      <c r="M147" s="90"/>
      <c r="N147" s="88"/>
      <c r="O147" s="90"/>
      <c r="P147" s="90"/>
      <c r="Q147" s="90"/>
      <c r="R147" s="88"/>
      <c r="S147" s="90"/>
      <c r="T147" s="90"/>
      <c r="U147" s="90"/>
      <c r="V147" s="91"/>
    </row>
    <row r="148" spans="1:22" ht="115.15" customHeight="1">
      <c r="A148" s="98"/>
      <c r="B148" s="105" t="s">
        <v>246</v>
      </c>
      <c r="C148" s="13">
        <v>810</v>
      </c>
      <c r="D148" s="14" t="s">
        <v>247</v>
      </c>
      <c r="E148" s="13" t="s">
        <v>248</v>
      </c>
      <c r="F148" s="88">
        <f t="shared" ref="F148" si="159">SUM(G148:I148)</f>
        <v>10750.6</v>
      </c>
      <c r="G148" s="90">
        <v>10000</v>
      </c>
      <c r="H148" s="90"/>
      <c r="I148" s="90">
        <v>750.6</v>
      </c>
      <c r="J148" s="88">
        <f t="shared" ref="J148" si="160">SUM(K148:M148)</f>
        <v>0</v>
      </c>
      <c r="K148" s="90"/>
      <c r="L148" s="90"/>
      <c r="M148" s="90"/>
      <c r="N148" s="88">
        <f t="shared" ref="N148" si="161">SUM(O148:Q148)</f>
        <v>0</v>
      </c>
      <c r="O148" s="90"/>
      <c r="P148" s="90"/>
      <c r="Q148" s="90"/>
      <c r="R148" s="88">
        <f t="shared" ref="R148" si="162">SUM(S148:U148)</f>
        <v>0</v>
      </c>
      <c r="S148" s="90"/>
      <c r="T148" s="90"/>
      <c r="U148" s="90"/>
      <c r="V148" s="91">
        <f t="shared" si="144"/>
        <v>0</v>
      </c>
    </row>
    <row r="149" spans="1:22" ht="42" customHeight="1">
      <c r="A149" s="102" t="s">
        <v>249</v>
      </c>
      <c r="B149" s="103" t="s">
        <v>250</v>
      </c>
      <c r="C149" s="12" t="s">
        <v>19</v>
      </c>
      <c r="D149" s="12" t="s">
        <v>19</v>
      </c>
      <c r="E149" s="12" t="s">
        <v>19</v>
      </c>
      <c r="F149" s="88">
        <f>F151</f>
        <v>9750</v>
      </c>
      <c r="G149" s="88">
        <f t="shared" ref="G149:U149" si="163">G151</f>
        <v>9750</v>
      </c>
      <c r="H149" s="88">
        <f t="shared" si="163"/>
        <v>0</v>
      </c>
      <c r="I149" s="88">
        <f t="shared" si="163"/>
        <v>0</v>
      </c>
      <c r="J149" s="88">
        <f>J151</f>
        <v>0</v>
      </c>
      <c r="K149" s="88">
        <f t="shared" si="163"/>
        <v>0</v>
      </c>
      <c r="L149" s="88">
        <f t="shared" si="163"/>
        <v>0</v>
      </c>
      <c r="M149" s="88">
        <f t="shared" si="163"/>
        <v>0</v>
      </c>
      <c r="N149" s="88">
        <f>N151</f>
        <v>1762.2</v>
      </c>
      <c r="O149" s="88">
        <f t="shared" si="163"/>
        <v>1762.2</v>
      </c>
      <c r="P149" s="88">
        <f t="shared" si="163"/>
        <v>0</v>
      </c>
      <c r="Q149" s="88">
        <f t="shared" si="163"/>
        <v>0</v>
      </c>
      <c r="R149" s="88">
        <f>R151</f>
        <v>1762.2</v>
      </c>
      <c r="S149" s="88">
        <f t="shared" si="163"/>
        <v>1762.2</v>
      </c>
      <c r="T149" s="88">
        <f t="shared" si="163"/>
        <v>0</v>
      </c>
      <c r="U149" s="88">
        <f t="shared" si="163"/>
        <v>0</v>
      </c>
      <c r="V149" s="89">
        <f t="shared" si="144"/>
        <v>0</v>
      </c>
    </row>
    <row r="150" spans="1:22" ht="18.75">
      <c r="A150" s="98"/>
      <c r="B150" s="104" t="s">
        <v>22</v>
      </c>
      <c r="C150" s="13"/>
      <c r="D150" s="13"/>
      <c r="E150" s="13"/>
      <c r="F150" s="88"/>
      <c r="G150" s="90"/>
      <c r="H150" s="90"/>
      <c r="I150" s="90"/>
      <c r="J150" s="88"/>
      <c r="K150" s="90"/>
      <c r="L150" s="90"/>
      <c r="M150" s="90"/>
      <c r="N150" s="88"/>
      <c r="O150" s="90"/>
      <c r="P150" s="90"/>
      <c r="Q150" s="90"/>
      <c r="R150" s="88"/>
      <c r="S150" s="90"/>
      <c r="T150" s="90"/>
      <c r="U150" s="90"/>
      <c r="V150" s="91"/>
    </row>
    <row r="151" spans="1:22" ht="43.15" customHeight="1">
      <c r="A151" s="98"/>
      <c r="B151" s="105" t="s">
        <v>251</v>
      </c>
      <c r="C151" s="13">
        <v>810</v>
      </c>
      <c r="D151" s="14" t="s">
        <v>247</v>
      </c>
      <c r="E151" s="13" t="s">
        <v>252</v>
      </c>
      <c r="F151" s="88">
        <f t="shared" ref="F151" si="164">SUM(G151:I151)</f>
        <v>9750</v>
      </c>
      <c r="G151" s="90">
        <v>9750</v>
      </c>
      <c r="H151" s="90"/>
      <c r="I151" s="90"/>
      <c r="J151" s="88">
        <f t="shared" ref="J151" si="165">SUM(K151:M151)</f>
        <v>0</v>
      </c>
      <c r="K151" s="90"/>
      <c r="L151" s="90"/>
      <c r="M151" s="90"/>
      <c r="N151" s="88">
        <f t="shared" ref="N151" si="166">SUM(O151:Q151)</f>
        <v>1762.2</v>
      </c>
      <c r="O151" s="90">
        <v>1762.2</v>
      </c>
      <c r="P151" s="90"/>
      <c r="Q151" s="90"/>
      <c r="R151" s="88">
        <f t="shared" ref="R151" si="167">SUM(S151:U151)</f>
        <v>1762.2</v>
      </c>
      <c r="S151" s="90">
        <v>1762.2</v>
      </c>
      <c r="T151" s="90"/>
      <c r="U151" s="90"/>
      <c r="V151" s="91">
        <f t="shared" si="144"/>
        <v>0</v>
      </c>
    </row>
    <row r="152" spans="1:22" ht="46.9" customHeight="1">
      <c r="A152" s="100" t="s">
        <v>253</v>
      </c>
      <c r="B152" s="111" t="s">
        <v>254</v>
      </c>
      <c r="C152" s="2" t="s">
        <v>19</v>
      </c>
      <c r="D152" s="2" t="s">
        <v>19</v>
      </c>
      <c r="E152" s="2" t="s">
        <v>19</v>
      </c>
      <c r="F152" s="86">
        <f>F153</f>
        <v>2560447.2000000002</v>
      </c>
      <c r="G152" s="86">
        <f t="shared" ref="G152:U152" si="168">G153</f>
        <v>523000</v>
      </c>
      <c r="H152" s="86">
        <f t="shared" si="168"/>
        <v>1768568.7</v>
      </c>
      <c r="I152" s="86">
        <f t="shared" si="168"/>
        <v>268878.5</v>
      </c>
      <c r="J152" s="86">
        <f>J153</f>
        <v>2534837.5</v>
      </c>
      <c r="K152" s="86">
        <f t="shared" si="168"/>
        <v>519727.1</v>
      </c>
      <c r="L152" s="86">
        <f t="shared" si="168"/>
        <v>1768568.7</v>
      </c>
      <c r="M152" s="86">
        <f t="shared" si="168"/>
        <v>246541.6</v>
      </c>
      <c r="N152" s="86">
        <f>N153</f>
        <v>1456164.5</v>
      </c>
      <c r="O152" s="86">
        <f t="shared" si="168"/>
        <v>370500</v>
      </c>
      <c r="P152" s="86">
        <f t="shared" si="168"/>
        <v>680000</v>
      </c>
      <c r="Q152" s="86">
        <f t="shared" si="168"/>
        <v>405664.5</v>
      </c>
      <c r="R152" s="86">
        <f>R153</f>
        <v>1455750.6</v>
      </c>
      <c r="S152" s="86">
        <f t="shared" si="168"/>
        <v>340000</v>
      </c>
      <c r="T152" s="86">
        <f t="shared" si="168"/>
        <v>680000</v>
      </c>
      <c r="U152" s="86">
        <f t="shared" si="168"/>
        <v>435750.6</v>
      </c>
      <c r="V152" s="87">
        <f t="shared" si="144"/>
        <v>0.99</v>
      </c>
    </row>
    <row r="153" spans="1:22" ht="40.9" customHeight="1">
      <c r="A153" s="102" t="s">
        <v>255</v>
      </c>
      <c r="B153" s="103" t="s">
        <v>256</v>
      </c>
      <c r="C153" s="12" t="s">
        <v>19</v>
      </c>
      <c r="D153" s="12" t="s">
        <v>19</v>
      </c>
      <c r="E153" s="12" t="s">
        <v>19</v>
      </c>
      <c r="F153" s="88">
        <f>SUM(F155)</f>
        <v>2560447.2000000002</v>
      </c>
      <c r="G153" s="88">
        <f t="shared" ref="G153:H153" si="169">SUM(G155)</f>
        <v>523000</v>
      </c>
      <c r="H153" s="88">
        <f t="shared" si="169"/>
        <v>1768568.7</v>
      </c>
      <c r="I153" s="88">
        <f>SUM(I155)</f>
        <v>268878.5</v>
      </c>
      <c r="J153" s="88">
        <f>SUM(J155)</f>
        <v>2534837.5</v>
      </c>
      <c r="K153" s="88">
        <f t="shared" ref="K153:U153" si="170">SUM(K155)</f>
        <v>519727.1</v>
      </c>
      <c r="L153" s="88">
        <f t="shared" si="170"/>
        <v>1768568.7</v>
      </c>
      <c r="M153" s="88">
        <v>246541.6</v>
      </c>
      <c r="N153" s="88">
        <f>SUM(N155)</f>
        <v>1456164.5</v>
      </c>
      <c r="O153" s="88">
        <f t="shared" si="170"/>
        <v>370500</v>
      </c>
      <c r="P153" s="88">
        <f t="shared" si="170"/>
        <v>680000</v>
      </c>
      <c r="Q153" s="88">
        <f t="shared" si="170"/>
        <v>405664.5</v>
      </c>
      <c r="R153" s="88">
        <f>SUM(R155)</f>
        <v>1455750.6</v>
      </c>
      <c r="S153" s="88">
        <f t="shared" si="170"/>
        <v>340000</v>
      </c>
      <c r="T153" s="88">
        <f t="shared" si="170"/>
        <v>680000</v>
      </c>
      <c r="U153" s="88">
        <f t="shared" si="170"/>
        <v>435750.6</v>
      </c>
      <c r="V153" s="89">
        <f t="shared" si="144"/>
        <v>0.99</v>
      </c>
    </row>
    <row r="154" spans="1:22" ht="18.75">
      <c r="A154" s="98"/>
      <c r="B154" s="104" t="s">
        <v>22</v>
      </c>
      <c r="C154" s="13"/>
      <c r="D154" s="13"/>
      <c r="E154" s="13"/>
      <c r="F154" s="88"/>
      <c r="G154" s="90"/>
      <c r="H154" s="90"/>
      <c r="I154" s="90"/>
      <c r="J154" s="88"/>
      <c r="K154" s="90"/>
      <c r="L154" s="90"/>
      <c r="M154" s="90"/>
      <c r="N154" s="88"/>
      <c r="O154" s="90"/>
      <c r="P154" s="90"/>
      <c r="Q154" s="90"/>
      <c r="R154" s="88"/>
      <c r="S154" s="90"/>
      <c r="T154" s="90"/>
      <c r="U154" s="90"/>
      <c r="V154" s="91"/>
    </row>
    <row r="155" spans="1:22" ht="80.45" customHeight="1">
      <c r="A155" s="98" t="s">
        <v>23</v>
      </c>
      <c r="B155" s="105" t="s">
        <v>257</v>
      </c>
      <c r="C155" s="13">
        <v>822</v>
      </c>
      <c r="D155" s="14" t="s">
        <v>258</v>
      </c>
      <c r="E155" s="13" t="s">
        <v>259</v>
      </c>
      <c r="F155" s="88">
        <f t="shared" ref="F155" si="171">SUM(G155:I155)</f>
        <v>2560447.2000000002</v>
      </c>
      <c r="G155" s="90">
        <f>450000+93000-20000</f>
        <v>523000</v>
      </c>
      <c r="H155" s="90">
        <v>1768568.7</v>
      </c>
      <c r="I155" s="90">
        <v>268878.5</v>
      </c>
      <c r="J155" s="88">
        <f t="shared" ref="J155" si="172">SUM(K155:M155)</f>
        <v>2534837.5</v>
      </c>
      <c r="K155" s="90">
        <v>519727.1</v>
      </c>
      <c r="L155" s="90">
        <v>1768568.7</v>
      </c>
      <c r="M155" s="90">
        <v>246541.7</v>
      </c>
      <c r="N155" s="88">
        <f t="shared" ref="N155" si="173">SUM(O155:Q155)</f>
        <v>1456164.5</v>
      </c>
      <c r="O155" s="90">
        <f>340000+30500</f>
        <v>370500</v>
      </c>
      <c r="P155" s="90">
        <v>680000</v>
      </c>
      <c r="Q155" s="90">
        <v>405664.5</v>
      </c>
      <c r="R155" s="88">
        <f t="shared" ref="R155" si="174">SUM(S155:U155)</f>
        <v>1455750.6</v>
      </c>
      <c r="S155" s="90">
        <v>340000</v>
      </c>
      <c r="T155" s="90">
        <v>680000</v>
      </c>
      <c r="U155" s="90">
        <v>435750.6</v>
      </c>
      <c r="V155" s="91">
        <f t="shared" si="144"/>
        <v>0.99</v>
      </c>
    </row>
    <row r="156" spans="1:22" ht="18.75">
      <c r="A156" s="100" t="s">
        <v>260</v>
      </c>
      <c r="B156" s="101" t="s">
        <v>261</v>
      </c>
      <c r="C156" s="2" t="s">
        <v>19</v>
      </c>
      <c r="D156" s="2" t="s">
        <v>19</v>
      </c>
      <c r="E156" s="2" t="s">
        <v>19</v>
      </c>
      <c r="F156" s="86">
        <f>F157+F161+F164</f>
        <v>148050.6</v>
      </c>
      <c r="G156" s="86">
        <f t="shared" ref="G156:U156" si="175">G157+G161+G164</f>
        <v>45933.2</v>
      </c>
      <c r="H156" s="86">
        <f t="shared" si="175"/>
        <v>86496.9</v>
      </c>
      <c r="I156" s="86">
        <f>I157+I161+I164</f>
        <v>15620.5</v>
      </c>
      <c r="J156" s="86">
        <f>J157+J161+J164</f>
        <v>103063.6</v>
      </c>
      <c r="K156" s="86">
        <f t="shared" si="175"/>
        <v>40358.699999999997</v>
      </c>
      <c r="L156" s="86">
        <f t="shared" si="175"/>
        <v>56826.9</v>
      </c>
      <c r="M156" s="86">
        <f t="shared" si="175"/>
        <v>5878</v>
      </c>
      <c r="N156" s="86">
        <f>N157+N161+N164</f>
        <v>67039.8</v>
      </c>
      <c r="O156" s="86">
        <f t="shared" si="175"/>
        <v>33315.1</v>
      </c>
      <c r="P156" s="86">
        <f t="shared" si="175"/>
        <v>33218.199999999997</v>
      </c>
      <c r="Q156" s="86">
        <f t="shared" si="175"/>
        <v>506.5</v>
      </c>
      <c r="R156" s="86">
        <f>R157+R161+R164</f>
        <v>68350.600000000006</v>
      </c>
      <c r="S156" s="86">
        <f t="shared" si="175"/>
        <v>35664.1</v>
      </c>
      <c r="T156" s="86">
        <f t="shared" si="175"/>
        <v>32536.5</v>
      </c>
      <c r="U156" s="86">
        <f t="shared" si="175"/>
        <v>150</v>
      </c>
      <c r="V156" s="87">
        <f t="shared" si="144"/>
        <v>0.69599999999999995</v>
      </c>
    </row>
    <row r="157" spans="1:22" ht="45.6" customHeight="1">
      <c r="A157" s="102" t="s">
        <v>262</v>
      </c>
      <c r="B157" s="103" t="s">
        <v>263</v>
      </c>
      <c r="C157" s="12" t="s">
        <v>19</v>
      </c>
      <c r="D157" s="12" t="s">
        <v>19</v>
      </c>
      <c r="E157" s="12" t="s">
        <v>19</v>
      </c>
      <c r="F157" s="88">
        <f>SUM(F159:F160)</f>
        <v>101346.7</v>
      </c>
      <c r="G157" s="88">
        <f t="shared" ref="G157:U157" si="176">SUM(G159:G160)</f>
        <v>7774.3</v>
      </c>
      <c r="H157" s="88">
        <f t="shared" si="176"/>
        <v>77956.899999999994</v>
      </c>
      <c r="I157" s="88">
        <f t="shared" si="176"/>
        <v>15615.5</v>
      </c>
      <c r="J157" s="88">
        <f>SUM(J159:J160)</f>
        <v>56780.800000000003</v>
      </c>
      <c r="K157" s="88">
        <f t="shared" si="176"/>
        <v>2620.9</v>
      </c>
      <c r="L157" s="88">
        <f>SUM(L159:L160)</f>
        <v>48286.9</v>
      </c>
      <c r="M157" s="88">
        <f t="shared" si="176"/>
        <v>5873</v>
      </c>
      <c r="N157" s="88">
        <f>SUM(N159:N160)</f>
        <v>38039.800000000003</v>
      </c>
      <c r="O157" s="88">
        <f t="shared" si="176"/>
        <v>4315.1000000000004</v>
      </c>
      <c r="P157" s="88">
        <f t="shared" si="176"/>
        <v>33218.199999999997</v>
      </c>
      <c r="Q157" s="88">
        <f t="shared" si="176"/>
        <v>506.5</v>
      </c>
      <c r="R157" s="88">
        <f>SUM(R159:R160)</f>
        <v>39350.6</v>
      </c>
      <c r="S157" s="88">
        <f t="shared" si="176"/>
        <v>6664.1</v>
      </c>
      <c r="T157" s="88">
        <f t="shared" si="176"/>
        <v>32536.5</v>
      </c>
      <c r="U157" s="88">
        <f t="shared" si="176"/>
        <v>150</v>
      </c>
      <c r="V157" s="89">
        <f t="shared" si="144"/>
        <v>0.56000000000000005</v>
      </c>
    </row>
    <row r="158" spans="1:22" ht="18.75">
      <c r="A158" s="98"/>
      <c r="B158" s="104" t="s">
        <v>22</v>
      </c>
      <c r="C158" s="13"/>
      <c r="D158" s="13"/>
      <c r="E158" s="13"/>
      <c r="F158" s="88"/>
      <c r="G158" s="90"/>
      <c r="H158" s="90"/>
      <c r="I158" s="90"/>
      <c r="J158" s="88"/>
      <c r="K158" s="90"/>
      <c r="L158" s="90"/>
      <c r="M158" s="90"/>
      <c r="N158" s="88"/>
      <c r="O158" s="90"/>
      <c r="P158" s="90"/>
      <c r="Q158" s="90"/>
      <c r="R158" s="88"/>
      <c r="S158" s="90"/>
      <c r="T158" s="90"/>
      <c r="U158" s="90"/>
      <c r="V158" s="91"/>
    </row>
    <row r="159" spans="1:22" ht="66">
      <c r="A159" s="98" t="s">
        <v>34</v>
      </c>
      <c r="B159" s="105" t="s">
        <v>264</v>
      </c>
      <c r="C159" s="13">
        <v>821</v>
      </c>
      <c r="D159" s="14" t="s">
        <v>36</v>
      </c>
      <c r="E159" s="13" t="s">
        <v>266</v>
      </c>
      <c r="F159" s="88">
        <f t="shared" ref="F159:F160" si="177">SUM(G159:I159)</f>
        <v>59947</v>
      </c>
      <c r="G159" s="90">
        <v>7774.3</v>
      </c>
      <c r="H159" s="90">
        <v>37956.9</v>
      </c>
      <c r="I159" s="90">
        <v>14215.8</v>
      </c>
      <c r="J159" s="88">
        <f t="shared" ref="J159:J160" si="178">SUM(K159:M159)</f>
        <v>20208.599999999999</v>
      </c>
      <c r="K159" s="90">
        <v>2620.9</v>
      </c>
      <c r="L159" s="90">
        <v>12796.1</v>
      </c>
      <c r="M159" s="90">
        <v>4791.6000000000004</v>
      </c>
      <c r="N159" s="88">
        <f t="shared" ref="N159:N160" si="179">SUM(O159:Q159)</f>
        <v>37533.300000000003</v>
      </c>
      <c r="O159" s="90">
        <v>4315.1000000000004</v>
      </c>
      <c r="P159" s="90">
        <v>33218.199999999997</v>
      </c>
      <c r="Q159" s="90"/>
      <c r="R159" s="88">
        <f t="shared" ref="R159:R160" si="180">SUM(S159:U159)</f>
        <v>39350.6</v>
      </c>
      <c r="S159" s="90">
        <v>6664.1</v>
      </c>
      <c r="T159" s="90">
        <v>32536.5</v>
      </c>
      <c r="U159" s="90">
        <v>150</v>
      </c>
      <c r="V159" s="91">
        <f t="shared" si="144"/>
        <v>0.33700000000000002</v>
      </c>
    </row>
    <row r="160" spans="1:22" ht="93.75">
      <c r="A160" s="98" t="s">
        <v>23</v>
      </c>
      <c r="B160" s="105" t="s">
        <v>344</v>
      </c>
      <c r="C160" s="13">
        <v>814</v>
      </c>
      <c r="D160" s="14" t="s">
        <v>265</v>
      </c>
      <c r="E160" s="13" t="s">
        <v>267</v>
      </c>
      <c r="F160" s="88">
        <f t="shared" si="177"/>
        <v>41399.699999999997</v>
      </c>
      <c r="G160" s="90"/>
      <c r="H160" s="90">
        <v>40000</v>
      </c>
      <c r="I160" s="90">
        <v>1399.7</v>
      </c>
      <c r="J160" s="88">
        <f t="shared" si="178"/>
        <v>36572.199999999997</v>
      </c>
      <c r="K160" s="90"/>
      <c r="L160" s="90">
        <v>35490.800000000003</v>
      </c>
      <c r="M160" s="90">
        <v>1081.4000000000001</v>
      </c>
      <c r="N160" s="88">
        <f t="shared" si="179"/>
        <v>506.5</v>
      </c>
      <c r="O160" s="90"/>
      <c r="P160" s="90"/>
      <c r="Q160" s="90">
        <v>506.5</v>
      </c>
      <c r="R160" s="88">
        <f t="shared" si="180"/>
        <v>0</v>
      </c>
      <c r="S160" s="90"/>
      <c r="T160" s="90"/>
      <c r="U160" s="90"/>
      <c r="V160" s="91">
        <f t="shared" si="144"/>
        <v>0.88300000000000001</v>
      </c>
    </row>
    <row r="161" spans="1:22" ht="37.5">
      <c r="A161" s="102" t="s">
        <v>268</v>
      </c>
      <c r="B161" s="103" t="s">
        <v>269</v>
      </c>
      <c r="C161" s="12" t="s">
        <v>19</v>
      </c>
      <c r="D161" s="12" t="s">
        <v>19</v>
      </c>
      <c r="E161" s="12" t="s">
        <v>19</v>
      </c>
      <c r="F161" s="88">
        <f>F163</f>
        <v>8545</v>
      </c>
      <c r="G161" s="88">
        <f t="shared" ref="G161:U161" si="181">G163</f>
        <v>0</v>
      </c>
      <c r="H161" s="88">
        <f t="shared" si="181"/>
        <v>8540</v>
      </c>
      <c r="I161" s="88">
        <f t="shared" si="181"/>
        <v>5</v>
      </c>
      <c r="J161" s="88">
        <f>J163</f>
        <v>8545</v>
      </c>
      <c r="K161" s="88">
        <f t="shared" si="181"/>
        <v>0</v>
      </c>
      <c r="L161" s="88">
        <f t="shared" si="181"/>
        <v>8540</v>
      </c>
      <c r="M161" s="88">
        <f t="shared" si="181"/>
        <v>5</v>
      </c>
      <c r="N161" s="88">
        <f>N163</f>
        <v>0</v>
      </c>
      <c r="O161" s="88">
        <f t="shared" si="181"/>
        <v>0</v>
      </c>
      <c r="P161" s="88">
        <f t="shared" si="181"/>
        <v>0</v>
      </c>
      <c r="Q161" s="88">
        <f t="shared" si="181"/>
        <v>0</v>
      </c>
      <c r="R161" s="88">
        <f>R163</f>
        <v>0</v>
      </c>
      <c r="S161" s="88">
        <f t="shared" si="181"/>
        <v>0</v>
      </c>
      <c r="T161" s="88">
        <f t="shared" si="181"/>
        <v>0</v>
      </c>
      <c r="U161" s="88">
        <f t="shared" si="181"/>
        <v>0</v>
      </c>
      <c r="V161" s="89">
        <f t="shared" si="144"/>
        <v>1</v>
      </c>
    </row>
    <row r="162" spans="1:22" ht="18.75">
      <c r="A162" s="98"/>
      <c r="B162" s="110" t="s">
        <v>22</v>
      </c>
      <c r="C162" s="13"/>
      <c r="D162" s="14"/>
      <c r="E162" s="13"/>
      <c r="F162" s="88"/>
      <c r="G162" s="90"/>
      <c r="H162" s="90"/>
      <c r="I162" s="90"/>
      <c r="J162" s="88"/>
      <c r="K162" s="90"/>
      <c r="L162" s="90"/>
      <c r="M162" s="90"/>
      <c r="N162" s="88"/>
      <c r="O162" s="90"/>
      <c r="P162" s="90"/>
      <c r="Q162" s="90"/>
      <c r="R162" s="88"/>
      <c r="S162" s="90"/>
      <c r="T162" s="90"/>
      <c r="U162" s="90"/>
      <c r="V162" s="91"/>
    </row>
    <row r="163" spans="1:22" ht="31.15" customHeight="1">
      <c r="A163" s="98" t="s">
        <v>23</v>
      </c>
      <c r="B163" s="105" t="s">
        <v>270</v>
      </c>
      <c r="C163" s="13">
        <v>814</v>
      </c>
      <c r="D163" s="14" t="s">
        <v>265</v>
      </c>
      <c r="E163" s="13" t="s">
        <v>271</v>
      </c>
      <c r="F163" s="88">
        <f t="shared" ref="F163" si="182">SUM(G163:I163)</f>
        <v>8545</v>
      </c>
      <c r="G163" s="90"/>
      <c r="H163" s="90">
        <v>8540</v>
      </c>
      <c r="I163" s="90">
        <v>5</v>
      </c>
      <c r="J163" s="88">
        <f t="shared" ref="J163" si="183">SUM(K163:M163)</f>
        <v>8545</v>
      </c>
      <c r="K163" s="90"/>
      <c r="L163" s="90">
        <v>8540</v>
      </c>
      <c r="M163" s="90">
        <v>5</v>
      </c>
      <c r="N163" s="88">
        <f t="shared" ref="N163" si="184">SUM(O163:Q163)</f>
        <v>0</v>
      </c>
      <c r="O163" s="90"/>
      <c r="P163" s="90"/>
      <c r="Q163" s="90"/>
      <c r="R163" s="88">
        <f t="shared" ref="R163" si="185">SUM(S163:U163)</f>
        <v>0</v>
      </c>
      <c r="S163" s="90"/>
      <c r="T163" s="90"/>
      <c r="U163" s="90"/>
      <c r="V163" s="91">
        <f t="shared" si="144"/>
        <v>1</v>
      </c>
    </row>
    <row r="164" spans="1:22" ht="37.5">
      <c r="A164" s="102" t="s">
        <v>272</v>
      </c>
      <c r="B164" s="103" t="s">
        <v>273</v>
      </c>
      <c r="C164" s="12" t="s">
        <v>19</v>
      </c>
      <c r="D164" s="12" t="s">
        <v>19</v>
      </c>
      <c r="E164" s="12" t="s">
        <v>19</v>
      </c>
      <c r="F164" s="88">
        <f>SUM(F166:F167)</f>
        <v>38158.9</v>
      </c>
      <c r="G164" s="88">
        <f t="shared" ref="G164:U164" si="186">SUM(G166:G167)</f>
        <v>38158.9</v>
      </c>
      <c r="H164" s="88">
        <f t="shared" si="186"/>
        <v>0</v>
      </c>
      <c r="I164" s="88">
        <f t="shared" si="186"/>
        <v>0</v>
      </c>
      <c r="J164" s="88">
        <f>SUM(J166:J167)</f>
        <v>37737.800000000003</v>
      </c>
      <c r="K164" s="88">
        <f t="shared" si="186"/>
        <v>37737.800000000003</v>
      </c>
      <c r="L164" s="88">
        <f t="shared" si="186"/>
        <v>0</v>
      </c>
      <c r="M164" s="88">
        <f t="shared" si="186"/>
        <v>0</v>
      </c>
      <c r="N164" s="88">
        <f>SUM(N166:N167)</f>
        <v>29000</v>
      </c>
      <c r="O164" s="88">
        <f t="shared" si="186"/>
        <v>29000</v>
      </c>
      <c r="P164" s="88">
        <f t="shared" si="186"/>
        <v>0</v>
      </c>
      <c r="Q164" s="88">
        <f t="shared" si="186"/>
        <v>0</v>
      </c>
      <c r="R164" s="88">
        <f>SUM(R166:R167)</f>
        <v>29000</v>
      </c>
      <c r="S164" s="88">
        <f t="shared" si="186"/>
        <v>29000</v>
      </c>
      <c r="T164" s="88">
        <f t="shared" si="186"/>
        <v>0</v>
      </c>
      <c r="U164" s="88">
        <f t="shared" si="186"/>
        <v>0</v>
      </c>
      <c r="V164" s="89">
        <f t="shared" si="144"/>
        <v>0.98899999999999999</v>
      </c>
    </row>
    <row r="165" spans="1:22" ht="18.75">
      <c r="A165" s="98"/>
      <c r="B165" s="105" t="s">
        <v>22</v>
      </c>
      <c r="C165" s="13"/>
      <c r="D165" s="14"/>
      <c r="E165" s="13"/>
      <c r="F165" s="88"/>
      <c r="G165" s="90"/>
      <c r="H165" s="90"/>
      <c r="I165" s="90"/>
      <c r="J165" s="88"/>
      <c r="K165" s="90"/>
      <c r="L165" s="90"/>
      <c r="M165" s="90"/>
      <c r="N165" s="88"/>
      <c r="O165" s="90"/>
      <c r="P165" s="90"/>
      <c r="Q165" s="90"/>
      <c r="R165" s="88"/>
      <c r="S165" s="90"/>
      <c r="T165" s="90"/>
      <c r="U165" s="90"/>
      <c r="V165" s="91"/>
    </row>
    <row r="166" spans="1:22" ht="40.9" customHeight="1">
      <c r="A166" s="98"/>
      <c r="B166" s="105" t="s">
        <v>274</v>
      </c>
      <c r="C166" s="13">
        <v>814</v>
      </c>
      <c r="D166" s="14" t="s">
        <v>265</v>
      </c>
      <c r="E166" s="13" t="s">
        <v>275</v>
      </c>
      <c r="F166" s="88">
        <f t="shared" ref="F166:F167" si="187">SUM(G166:I166)</f>
        <v>11658.9</v>
      </c>
      <c r="G166" s="90">
        <v>11658.9</v>
      </c>
      <c r="H166" s="90"/>
      <c r="I166" s="90"/>
      <c r="J166" s="88">
        <f t="shared" ref="J166:J167" si="188">SUM(K166:M166)</f>
        <v>11658.9</v>
      </c>
      <c r="K166" s="90">
        <v>11658.9</v>
      </c>
      <c r="L166" s="90"/>
      <c r="M166" s="90"/>
      <c r="N166" s="88">
        <f t="shared" ref="N166:N167" si="189">SUM(O166:Q166)</f>
        <v>13000</v>
      </c>
      <c r="O166" s="90">
        <v>13000</v>
      </c>
      <c r="P166" s="90"/>
      <c r="Q166" s="90"/>
      <c r="R166" s="88">
        <f t="shared" ref="R166:R167" si="190">SUM(S166:U166)</f>
        <v>13000</v>
      </c>
      <c r="S166" s="90">
        <v>13000</v>
      </c>
      <c r="T166" s="90"/>
      <c r="U166" s="90"/>
      <c r="V166" s="91">
        <f t="shared" si="144"/>
        <v>1</v>
      </c>
    </row>
    <row r="167" spans="1:22" ht="75">
      <c r="A167" s="98"/>
      <c r="B167" s="105" t="s">
        <v>276</v>
      </c>
      <c r="C167" s="13">
        <v>814</v>
      </c>
      <c r="D167" s="14" t="s">
        <v>265</v>
      </c>
      <c r="E167" s="13" t="s">
        <v>277</v>
      </c>
      <c r="F167" s="88">
        <f t="shared" si="187"/>
        <v>26500</v>
      </c>
      <c r="G167" s="90">
        <v>26500</v>
      </c>
      <c r="H167" s="90"/>
      <c r="I167" s="90"/>
      <c r="J167" s="88">
        <f t="shared" si="188"/>
        <v>26078.9</v>
      </c>
      <c r="K167" s="90">
        <v>26078.9</v>
      </c>
      <c r="L167" s="90"/>
      <c r="M167" s="90"/>
      <c r="N167" s="88">
        <f t="shared" si="189"/>
        <v>16000</v>
      </c>
      <c r="O167" s="90">
        <v>16000</v>
      </c>
      <c r="P167" s="90"/>
      <c r="Q167" s="90"/>
      <c r="R167" s="88">
        <f t="shared" si="190"/>
        <v>16000</v>
      </c>
      <c r="S167" s="90">
        <v>16000</v>
      </c>
      <c r="T167" s="90"/>
      <c r="U167" s="90"/>
      <c r="V167" s="91">
        <f t="shared" si="144"/>
        <v>0.98399999999999999</v>
      </c>
    </row>
    <row r="168" spans="1:22" ht="80.45" customHeight="1">
      <c r="A168" s="100" t="s">
        <v>278</v>
      </c>
      <c r="B168" s="111" t="s">
        <v>279</v>
      </c>
      <c r="C168" s="2" t="s">
        <v>19</v>
      </c>
      <c r="D168" s="2" t="s">
        <v>19</v>
      </c>
      <c r="E168" s="2" t="s">
        <v>19</v>
      </c>
      <c r="F168" s="86">
        <f t="shared" ref="F168:U168" si="191">F169+F173+F179+F182</f>
        <v>213819.9</v>
      </c>
      <c r="G168" s="86">
        <f t="shared" si="191"/>
        <v>7645.5</v>
      </c>
      <c r="H168" s="86">
        <f t="shared" si="191"/>
        <v>205631.8</v>
      </c>
      <c r="I168" s="86">
        <f t="shared" si="191"/>
        <v>542.6</v>
      </c>
      <c r="J168" s="86">
        <f t="shared" ref="J168" si="192">J169+J173+J179+J182</f>
        <v>197450.1</v>
      </c>
      <c r="K168" s="86">
        <f t="shared" si="191"/>
        <v>6379.4</v>
      </c>
      <c r="L168" s="86">
        <f t="shared" si="191"/>
        <v>191070.7</v>
      </c>
      <c r="M168" s="86">
        <f t="shared" si="191"/>
        <v>0</v>
      </c>
      <c r="N168" s="86">
        <f t="shared" ref="N168" si="193">N169+N173+N179+N182</f>
        <v>83994.5</v>
      </c>
      <c r="O168" s="86">
        <f t="shared" si="191"/>
        <v>3767</v>
      </c>
      <c r="P168" s="86">
        <f t="shared" si="191"/>
        <v>80227.5</v>
      </c>
      <c r="Q168" s="86">
        <f t="shared" si="191"/>
        <v>0</v>
      </c>
      <c r="R168" s="86">
        <f t="shared" ref="R168" si="194">R169+R173+R179+R182</f>
        <v>130919.6</v>
      </c>
      <c r="S168" s="86">
        <f t="shared" si="191"/>
        <v>5174.7</v>
      </c>
      <c r="T168" s="86">
        <f t="shared" si="191"/>
        <v>125744.9</v>
      </c>
      <c r="U168" s="86">
        <f t="shared" si="191"/>
        <v>0</v>
      </c>
      <c r="V168" s="87">
        <f t="shared" si="144"/>
        <v>0.92300000000000004</v>
      </c>
    </row>
    <row r="169" spans="1:22" ht="101.45" customHeight="1">
      <c r="A169" s="102" t="s">
        <v>280</v>
      </c>
      <c r="B169" s="103" t="s">
        <v>281</v>
      </c>
      <c r="C169" s="12" t="s">
        <v>19</v>
      </c>
      <c r="D169" s="12" t="s">
        <v>19</v>
      </c>
      <c r="E169" s="12" t="s">
        <v>19</v>
      </c>
      <c r="F169" s="88">
        <f>SUM(F171:F172)</f>
        <v>16405.099999999999</v>
      </c>
      <c r="G169" s="88">
        <f t="shared" ref="G169:U169" si="195">SUM(G171:G172)</f>
        <v>492.2</v>
      </c>
      <c r="H169" s="88">
        <f t="shared" si="195"/>
        <v>15912.9</v>
      </c>
      <c r="I169" s="88">
        <f t="shared" si="195"/>
        <v>0</v>
      </c>
      <c r="J169" s="88">
        <f>SUM(J171:J172)</f>
        <v>12292.1</v>
      </c>
      <c r="K169" s="88">
        <f t="shared" si="195"/>
        <v>368.8</v>
      </c>
      <c r="L169" s="88">
        <f t="shared" si="195"/>
        <v>11923.3</v>
      </c>
      <c r="M169" s="88">
        <f t="shared" si="195"/>
        <v>0</v>
      </c>
      <c r="N169" s="88">
        <f>SUM(N171:N172)</f>
        <v>14683</v>
      </c>
      <c r="O169" s="88">
        <f t="shared" si="195"/>
        <v>440.5</v>
      </c>
      <c r="P169" s="88">
        <f t="shared" si="195"/>
        <v>14242.5</v>
      </c>
      <c r="Q169" s="88">
        <f t="shared" si="195"/>
        <v>0</v>
      </c>
      <c r="R169" s="88">
        <f>SUM(R171:R172)</f>
        <v>30590.799999999999</v>
      </c>
      <c r="S169" s="88">
        <f t="shared" si="195"/>
        <v>917.7</v>
      </c>
      <c r="T169" s="88">
        <f t="shared" si="195"/>
        <v>29673.1</v>
      </c>
      <c r="U169" s="88">
        <f t="shared" si="195"/>
        <v>0</v>
      </c>
      <c r="V169" s="89">
        <f t="shared" si="144"/>
        <v>0.749</v>
      </c>
    </row>
    <row r="170" spans="1:22" ht="18.75">
      <c r="A170" s="98"/>
      <c r="B170" s="110" t="s">
        <v>22</v>
      </c>
      <c r="C170" s="13"/>
      <c r="D170" s="13"/>
      <c r="E170" s="13"/>
      <c r="F170" s="88"/>
      <c r="G170" s="90"/>
      <c r="H170" s="90"/>
      <c r="I170" s="90"/>
      <c r="J170" s="88"/>
      <c r="K170" s="90"/>
      <c r="L170" s="90"/>
      <c r="M170" s="90"/>
      <c r="N170" s="88"/>
      <c r="O170" s="90"/>
      <c r="P170" s="90"/>
      <c r="Q170" s="90"/>
      <c r="R170" s="88"/>
      <c r="S170" s="90"/>
      <c r="T170" s="90"/>
      <c r="U170" s="90"/>
      <c r="V170" s="91"/>
    </row>
    <row r="171" spans="1:22" ht="69.599999999999994" customHeight="1">
      <c r="A171" s="98" t="s">
        <v>34</v>
      </c>
      <c r="B171" s="105" t="s">
        <v>282</v>
      </c>
      <c r="C171" s="13">
        <v>840</v>
      </c>
      <c r="D171" s="14" t="s">
        <v>185</v>
      </c>
      <c r="E171" s="13" t="s">
        <v>283</v>
      </c>
      <c r="F171" s="88">
        <f t="shared" ref="F171:F172" si="196">SUM(G171:I171)</f>
        <v>0</v>
      </c>
      <c r="G171" s="90"/>
      <c r="H171" s="90"/>
      <c r="I171" s="90"/>
      <c r="J171" s="88">
        <f t="shared" ref="J171:J172" si="197">SUM(K171:M171)</f>
        <v>0</v>
      </c>
      <c r="K171" s="90"/>
      <c r="L171" s="90"/>
      <c r="M171" s="90"/>
      <c r="N171" s="88">
        <f t="shared" ref="N171:N172" si="198">SUM(O171:Q171)</f>
        <v>11543.6</v>
      </c>
      <c r="O171" s="90">
        <f>564-217.69</f>
        <v>346.3</v>
      </c>
      <c r="P171" s="90">
        <f>18240.3-7043</f>
        <v>11197.3</v>
      </c>
      <c r="Q171" s="90"/>
      <c r="R171" s="88">
        <f t="shared" ref="R171:R172" si="199">SUM(S171:U171)</f>
        <v>25412.3</v>
      </c>
      <c r="S171" s="90">
        <f>745.8+16.57</f>
        <v>762.4</v>
      </c>
      <c r="T171" s="90">
        <f>24113+536.9</f>
        <v>24649.9</v>
      </c>
      <c r="U171" s="90"/>
      <c r="V171" s="91"/>
    </row>
    <row r="172" spans="1:22" ht="45.6" customHeight="1">
      <c r="A172" s="98" t="s">
        <v>34</v>
      </c>
      <c r="B172" s="105" t="s">
        <v>284</v>
      </c>
      <c r="C172" s="13">
        <v>840</v>
      </c>
      <c r="D172" s="14" t="s">
        <v>185</v>
      </c>
      <c r="E172" s="13" t="s">
        <v>285</v>
      </c>
      <c r="F172" s="88">
        <f t="shared" si="196"/>
        <v>16405.099999999999</v>
      </c>
      <c r="G172" s="90">
        <v>492.2</v>
      </c>
      <c r="H172" s="90">
        <v>15912.9</v>
      </c>
      <c r="I172" s="90"/>
      <c r="J172" s="88">
        <f t="shared" si="197"/>
        <v>12292.1</v>
      </c>
      <c r="K172" s="90">
        <v>368.8</v>
      </c>
      <c r="L172" s="90">
        <v>11923.3</v>
      </c>
      <c r="M172" s="90"/>
      <c r="N172" s="88">
        <f t="shared" si="198"/>
        <v>3139.4</v>
      </c>
      <c r="O172" s="90">
        <f>165.4-71.22</f>
        <v>94.2</v>
      </c>
      <c r="P172" s="90">
        <v>3045.2</v>
      </c>
      <c r="Q172" s="90"/>
      <c r="R172" s="88">
        <f t="shared" si="199"/>
        <v>5178.5</v>
      </c>
      <c r="S172" s="90">
        <f>155.3</f>
        <v>155.30000000000001</v>
      </c>
      <c r="T172" s="90">
        <v>5023.2</v>
      </c>
      <c r="U172" s="90"/>
      <c r="V172" s="91">
        <f t="shared" si="144"/>
        <v>0.749</v>
      </c>
    </row>
    <row r="173" spans="1:22" ht="59.45" customHeight="1">
      <c r="A173" s="102" t="s">
        <v>286</v>
      </c>
      <c r="B173" s="103" t="s">
        <v>287</v>
      </c>
      <c r="C173" s="12" t="s">
        <v>19</v>
      </c>
      <c r="D173" s="12" t="s">
        <v>19</v>
      </c>
      <c r="E173" s="12" t="s">
        <v>19</v>
      </c>
      <c r="F173" s="88">
        <f>SUM(F175:F178)</f>
        <v>160995.9</v>
      </c>
      <c r="G173" s="88">
        <f t="shared" ref="G173:U173" si="200">SUM(G175:G178)</f>
        <v>4813.6000000000004</v>
      </c>
      <c r="H173" s="88">
        <f t="shared" si="200"/>
        <v>155639.70000000001</v>
      </c>
      <c r="I173" s="88">
        <f t="shared" si="200"/>
        <v>542.6</v>
      </c>
      <c r="J173" s="88">
        <f>SUM(J175:J178)</f>
        <v>150144</v>
      </c>
      <c r="K173" s="88">
        <f t="shared" si="200"/>
        <v>4504.3</v>
      </c>
      <c r="L173" s="88">
        <f t="shared" si="200"/>
        <v>145639.70000000001</v>
      </c>
      <c r="M173" s="88">
        <f t="shared" si="200"/>
        <v>0</v>
      </c>
      <c r="N173" s="88">
        <f>SUM(N175:N178)</f>
        <v>35513.4</v>
      </c>
      <c r="O173" s="88">
        <f t="shared" si="200"/>
        <v>1065.4000000000001</v>
      </c>
      <c r="P173" s="88">
        <f t="shared" si="200"/>
        <v>34448</v>
      </c>
      <c r="Q173" s="88">
        <f t="shared" si="200"/>
        <v>0</v>
      </c>
      <c r="R173" s="88">
        <f>SUM(R175:R178)</f>
        <v>69303.600000000006</v>
      </c>
      <c r="S173" s="88">
        <f t="shared" si="200"/>
        <v>2079.1</v>
      </c>
      <c r="T173" s="88">
        <f t="shared" si="200"/>
        <v>67224.5</v>
      </c>
      <c r="U173" s="88">
        <f t="shared" si="200"/>
        <v>0</v>
      </c>
      <c r="V173" s="89">
        <f t="shared" si="144"/>
        <v>0.93300000000000005</v>
      </c>
    </row>
    <row r="174" spans="1:22" ht="18.75">
      <c r="A174" s="98"/>
      <c r="B174" s="110" t="s">
        <v>22</v>
      </c>
      <c r="C174" s="13"/>
      <c r="D174" s="13"/>
      <c r="E174" s="13"/>
      <c r="F174" s="88"/>
      <c r="G174" s="90"/>
      <c r="H174" s="90"/>
      <c r="I174" s="90"/>
      <c r="J174" s="88"/>
      <c r="K174" s="90"/>
      <c r="L174" s="90"/>
      <c r="M174" s="90"/>
      <c r="N174" s="88"/>
      <c r="O174" s="90"/>
      <c r="P174" s="90"/>
      <c r="Q174" s="90"/>
      <c r="R174" s="88"/>
      <c r="S174" s="90"/>
      <c r="T174" s="90"/>
      <c r="U174" s="90"/>
      <c r="V174" s="91"/>
    </row>
    <row r="175" spans="1:22" ht="60" customHeight="1">
      <c r="A175" s="98" t="s">
        <v>34</v>
      </c>
      <c r="B175" s="105" t="s">
        <v>282</v>
      </c>
      <c r="C175" s="13">
        <v>840</v>
      </c>
      <c r="D175" s="14" t="s">
        <v>185</v>
      </c>
      <c r="E175" s="13" t="s">
        <v>288</v>
      </c>
      <c r="F175" s="88">
        <f t="shared" ref="F175:F178" si="201">SUM(G175:I175)</f>
        <v>114390.3</v>
      </c>
      <c r="G175" s="90">
        <v>3431.7</v>
      </c>
      <c r="H175" s="90">
        <v>110958.6</v>
      </c>
      <c r="I175" s="90"/>
      <c r="J175" s="88">
        <f t="shared" ref="J175:J178" si="202">SUM(K175:M175)</f>
        <v>114390.3</v>
      </c>
      <c r="K175" s="90">
        <v>3431.7</v>
      </c>
      <c r="L175" s="90">
        <v>110958.6</v>
      </c>
      <c r="M175" s="90"/>
      <c r="N175" s="88">
        <f t="shared" ref="N175:N178" si="203">SUM(O175:Q175)</f>
        <v>31070.400000000001</v>
      </c>
      <c r="O175" s="90">
        <f>1244.5-312.38</f>
        <v>932.1</v>
      </c>
      <c r="P175" s="90">
        <f>40235.4-10097.1</f>
        <v>30138.3</v>
      </c>
      <c r="Q175" s="90"/>
      <c r="R175" s="88">
        <f t="shared" ref="R175:R178" si="204">SUM(S175:U175)</f>
        <v>47680.1</v>
      </c>
      <c r="S175" s="90">
        <v>1430.4</v>
      </c>
      <c r="T175" s="90">
        <v>46249.7</v>
      </c>
      <c r="U175" s="90"/>
      <c r="V175" s="91">
        <f t="shared" si="144"/>
        <v>1</v>
      </c>
    </row>
    <row r="176" spans="1:22" ht="131.25">
      <c r="A176" s="98" t="s">
        <v>34</v>
      </c>
      <c r="B176" s="105" t="s">
        <v>289</v>
      </c>
      <c r="C176" s="13">
        <v>840</v>
      </c>
      <c r="D176" s="14" t="s">
        <v>185</v>
      </c>
      <c r="E176" s="13" t="s">
        <v>290</v>
      </c>
      <c r="F176" s="88">
        <f t="shared" si="201"/>
        <v>10851.9</v>
      </c>
      <c r="G176" s="90">
        <v>309.3</v>
      </c>
      <c r="H176" s="90">
        <f>10000.02-0.02</f>
        <v>10000</v>
      </c>
      <c r="I176" s="90">
        <v>542.6</v>
      </c>
      <c r="J176" s="88">
        <f t="shared" si="202"/>
        <v>0</v>
      </c>
      <c r="K176" s="90"/>
      <c r="L176" s="90"/>
      <c r="M176" s="90"/>
      <c r="N176" s="88">
        <f t="shared" si="203"/>
        <v>4443</v>
      </c>
      <c r="O176" s="90">
        <f>176-42.71</f>
        <v>133.30000000000001</v>
      </c>
      <c r="P176" s="90">
        <f>5693.6-1383.9</f>
        <v>4309.7</v>
      </c>
      <c r="Q176" s="90"/>
      <c r="R176" s="88">
        <f t="shared" si="204"/>
        <v>21623.5</v>
      </c>
      <c r="S176" s="90">
        <v>648.70000000000005</v>
      </c>
      <c r="T176" s="90">
        <v>20974.799999999999</v>
      </c>
      <c r="U176" s="90"/>
      <c r="V176" s="91">
        <f t="shared" si="144"/>
        <v>0</v>
      </c>
    </row>
    <row r="177" spans="1:22" ht="112.5">
      <c r="A177" s="98" t="s">
        <v>34</v>
      </c>
      <c r="B177" s="105" t="s">
        <v>291</v>
      </c>
      <c r="C177" s="13">
        <v>840</v>
      </c>
      <c r="D177" s="14" t="s">
        <v>185</v>
      </c>
      <c r="E177" s="13" t="s">
        <v>292</v>
      </c>
      <c r="F177" s="88">
        <f t="shared" si="201"/>
        <v>7628.9</v>
      </c>
      <c r="G177" s="90">
        <v>228.9</v>
      </c>
      <c r="H177" s="90">
        <v>7400</v>
      </c>
      <c r="I177" s="90"/>
      <c r="J177" s="88">
        <f t="shared" si="202"/>
        <v>7628.9</v>
      </c>
      <c r="K177" s="90">
        <v>228.9</v>
      </c>
      <c r="L177" s="90">
        <v>7400</v>
      </c>
      <c r="M177" s="90"/>
      <c r="N177" s="88">
        <f t="shared" si="203"/>
        <v>0</v>
      </c>
      <c r="O177" s="90"/>
      <c r="P177" s="90"/>
      <c r="Q177" s="90"/>
      <c r="R177" s="88">
        <f t="shared" si="204"/>
        <v>0</v>
      </c>
      <c r="S177" s="90"/>
      <c r="T177" s="90"/>
      <c r="U177" s="90"/>
      <c r="V177" s="91">
        <f t="shared" si="144"/>
        <v>1</v>
      </c>
    </row>
    <row r="178" spans="1:22" ht="73.150000000000006" customHeight="1">
      <c r="A178" s="98" t="s">
        <v>34</v>
      </c>
      <c r="B178" s="105" t="s">
        <v>293</v>
      </c>
      <c r="C178" s="13">
        <v>840</v>
      </c>
      <c r="D178" s="14" t="s">
        <v>185</v>
      </c>
      <c r="E178" s="13" t="s">
        <v>294</v>
      </c>
      <c r="F178" s="88">
        <f t="shared" si="201"/>
        <v>28124.799999999999</v>
      </c>
      <c r="G178" s="90">
        <v>843.7</v>
      </c>
      <c r="H178" s="90">
        <v>27281.1</v>
      </c>
      <c r="I178" s="90"/>
      <c r="J178" s="88">
        <f t="shared" si="202"/>
        <v>28124.799999999999</v>
      </c>
      <c r="K178" s="90">
        <v>843.7</v>
      </c>
      <c r="L178" s="90">
        <v>27281.1</v>
      </c>
      <c r="M178" s="90"/>
      <c r="N178" s="88">
        <f t="shared" si="203"/>
        <v>0</v>
      </c>
      <c r="O178" s="90"/>
      <c r="P178" s="90"/>
      <c r="Q178" s="90"/>
      <c r="R178" s="88">
        <f t="shared" si="204"/>
        <v>0</v>
      </c>
      <c r="S178" s="90"/>
      <c r="T178" s="90"/>
      <c r="U178" s="90"/>
      <c r="V178" s="91">
        <f t="shared" si="144"/>
        <v>1</v>
      </c>
    </row>
    <row r="179" spans="1:22" ht="58.9" customHeight="1">
      <c r="A179" s="102" t="s">
        <v>295</v>
      </c>
      <c r="B179" s="103" t="s">
        <v>296</v>
      </c>
      <c r="C179" s="12" t="s">
        <v>19</v>
      </c>
      <c r="D179" s="8" t="s">
        <v>19</v>
      </c>
      <c r="E179" s="12" t="s">
        <v>19</v>
      </c>
      <c r="F179" s="88">
        <f>F181</f>
        <v>9090.4</v>
      </c>
      <c r="G179" s="88">
        <f t="shared" ref="G179:U179" si="205">G181</f>
        <v>272.7</v>
      </c>
      <c r="H179" s="88">
        <f t="shared" si="205"/>
        <v>8817.7000000000007</v>
      </c>
      <c r="I179" s="88">
        <f t="shared" si="205"/>
        <v>0</v>
      </c>
      <c r="J179" s="88">
        <f>J181</f>
        <v>9090.4</v>
      </c>
      <c r="K179" s="88">
        <f t="shared" si="205"/>
        <v>272.7</v>
      </c>
      <c r="L179" s="88">
        <f t="shared" si="205"/>
        <v>8817.7000000000007</v>
      </c>
      <c r="M179" s="88">
        <f t="shared" si="205"/>
        <v>0</v>
      </c>
      <c r="N179" s="88">
        <f>N181</f>
        <v>4545.3</v>
      </c>
      <c r="O179" s="88">
        <f t="shared" si="205"/>
        <v>136.4</v>
      </c>
      <c r="P179" s="88">
        <f t="shared" si="205"/>
        <v>4408.8999999999996</v>
      </c>
      <c r="Q179" s="88">
        <f t="shared" si="205"/>
        <v>0</v>
      </c>
      <c r="R179" s="88">
        <f>R181</f>
        <v>4545.3</v>
      </c>
      <c r="S179" s="88">
        <f t="shared" si="205"/>
        <v>136.4</v>
      </c>
      <c r="T179" s="88">
        <f t="shared" si="205"/>
        <v>4408.8999999999996</v>
      </c>
      <c r="U179" s="88">
        <f t="shared" si="205"/>
        <v>0</v>
      </c>
      <c r="V179" s="89">
        <f t="shared" si="144"/>
        <v>1</v>
      </c>
    </row>
    <row r="180" spans="1:22" ht="18.75">
      <c r="A180" s="98"/>
      <c r="B180" s="110" t="s">
        <v>22</v>
      </c>
      <c r="C180" s="13"/>
      <c r="D180" s="14"/>
      <c r="E180" s="13"/>
      <c r="F180" s="88"/>
      <c r="G180" s="90"/>
      <c r="H180" s="90"/>
      <c r="I180" s="90"/>
      <c r="J180" s="88"/>
      <c r="K180" s="90"/>
      <c r="L180" s="90"/>
      <c r="M180" s="90"/>
      <c r="N180" s="88"/>
      <c r="O180" s="90"/>
      <c r="P180" s="90"/>
      <c r="Q180" s="90"/>
      <c r="R180" s="88"/>
      <c r="S180" s="90"/>
      <c r="T180" s="90"/>
      <c r="U180" s="90"/>
      <c r="V180" s="91"/>
    </row>
    <row r="181" spans="1:22" ht="64.900000000000006" customHeight="1">
      <c r="A181" s="98" t="s">
        <v>34</v>
      </c>
      <c r="B181" s="105" t="s">
        <v>282</v>
      </c>
      <c r="C181" s="13">
        <v>840</v>
      </c>
      <c r="D181" s="14" t="s">
        <v>185</v>
      </c>
      <c r="E181" s="13" t="s">
        <v>297</v>
      </c>
      <c r="F181" s="88">
        <f t="shared" ref="F181" si="206">SUM(G181:I181)</f>
        <v>9090.4</v>
      </c>
      <c r="G181" s="90">
        <f>136.4+136.31</f>
        <v>272.7</v>
      </c>
      <c r="H181" s="90">
        <f>4408.9-0.1+4408.9</f>
        <v>8817.7000000000007</v>
      </c>
      <c r="I181" s="90"/>
      <c r="J181" s="88">
        <f t="shared" ref="J181" si="207">SUM(K181:M181)</f>
        <v>9090.4</v>
      </c>
      <c r="K181" s="90">
        <v>272.7</v>
      </c>
      <c r="L181" s="90">
        <v>8817.7000000000007</v>
      </c>
      <c r="M181" s="90"/>
      <c r="N181" s="88">
        <f t="shared" ref="N181" si="208">SUM(O181:Q181)</f>
        <v>4545.3</v>
      </c>
      <c r="O181" s="90">
        <v>136.4</v>
      </c>
      <c r="P181" s="90">
        <v>4408.8999999999996</v>
      </c>
      <c r="Q181" s="90"/>
      <c r="R181" s="88">
        <f t="shared" ref="R181" si="209">SUM(S181:U181)</f>
        <v>4545.3</v>
      </c>
      <c r="S181" s="90">
        <v>136.4</v>
      </c>
      <c r="T181" s="90">
        <v>4408.8999999999996</v>
      </c>
      <c r="U181" s="90"/>
      <c r="V181" s="91">
        <f t="shared" si="144"/>
        <v>1</v>
      </c>
    </row>
    <row r="182" spans="1:22" ht="61.9" customHeight="1">
      <c r="A182" s="102" t="s">
        <v>298</v>
      </c>
      <c r="B182" s="103" t="s">
        <v>299</v>
      </c>
      <c r="C182" s="12" t="s">
        <v>19</v>
      </c>
      <c r="D182" s="8" t="s">
        <v>19</v>
      </c>
      <c r="E182" s="12" t="s">
        <v>19</v>
      </c>
      <c r="F182" s="88">
        <f>SUM(F184:F187)</f>
        <v>27328.5</v>
      </c>
      <c r="G182" s="88">
        <f t="shared" ref="G182:H182" si="210">SUM(G184:G187)</f>
        <v>2067</v>
      </c>
      <c r="H182" s="88">
        <f t="shared" si="210"/>
        <v>25261.5</v>
      </c>
      <c r="I182" s="88">
        <f t="shared" ref="I182:U182" si="211">I184+I185+I186+I187</f>
        <v>0</v>
      </c>
      <c r="J182" s="88">
        <f>SUM(J184:J187)</f>
        <v>25923.599999999999</v>
      </c>
      <c r="K182" s="88">
        <f t="shared" si="211"/>
        <v>1233.5999999999999</v>
      </c>
      <c r="L182" s="88">
        <f t="shared" si="211"/>
        <v>24690</v>
      </c>
      <c r="M182" s="88">
        <f t="shared" si="211"/>
        <v>0</v>
      </c>
      <c r="N182" s="88">
        <f>SUM(N184:N187)</f>
        <v>29252.799999999999</v>
      </c>
      <c r="O182" s="88">
        <f t="shared" si="211"/>
        <v>2124.6999999999998</v>
      </c>
      <c r="P182" s="88">
        <f t="shared" si="211"/>
        <v>27128.1</v>
      </c>
      <c r="Q182" s="88">
        <f t="shared" si="211"/>
        <v>0</v>
      </c>
      <c r="R182" s="88">
        <f>SUM(R184:R187)</f>
        <v>26479.9</v>
      </c>
      <c r="S182" s="88">
        <f t="shared" si="211"/>
        <v>2041.5</v>
      </c>
      <c r="T182" s="88">
        <f t="shared" si="211"/>
        <v>24438.400000000001</v>
      </c>
      <c r="U182" s="88">
        <f t="shared" si="211"/>
        <v>0</v>
      </c>
      <c r="V182" s="89">
        <f t="shared" si="144"/>
        <v>0.94899999999999995</v>
      </c>
    </row>
    <row r="183" spans="1:22" ht="18.75">
      <c r="A183" s="98"/>
      <c r="B183" s="105" t="s">
        <v>22</v>
      </c>
      <c r="C183" s="13"/>
      <c r="D183" s="14"/>
      <c r="E183" s="13"/>
      <c r="F183" s="88"/>
      <c r="G183" s="90"/>
      <c r="H183" s="90"/>
      <c r="I183" s="90"/>
      <c r="J183" s="88"/>
      <c r="K183" s="90"/>
      <c r="L183" s="90"/>
      <c r="M183" s="90"/>
      <c r="N183" s="88"/>
      <c r="O183" s="90"/>
      <c r="P183" s="90"/>
      <c r="Q183" s="90"/>
      <c r="R183" s="88"/>
      <c r="S183" s="90"/>
      <c r="T183" s="90"/>
      <c r="U183" s="90"/>
      <c r="V183" s="91"/>
    </row>
    <row r="184" spans="1:22" ht="44.45" customHeight="1">
      <c r="A184" s="98"/>
      <c r="B184" s="105" t="s">
        <v>300</v>
      </c>
      <c r="C184" s="13">
        <v>817</v>
      </c>
      <c r="D184" s="14" t="s">
        <v>301</v>
      </c>
      <c r="E184" s="13" t="s">
        <v>302</v>
      </c>
      <c r="F184" s="88">
        <f t="shared" ref="F184:F187" si="212">SUM(G184:I184)</f>
        <v>0</v>
      </c>
      <c r="G184" s="90">
        <f>781.28-781.28</f>
        <v>0</v>
      </c>
      <c r="H184" s="90"/>
      <c r="I184" s="90"/>
      <c r="J184" s="88">
        <f t="shared" ref="J184:J187" si="213">SUM(K184:M184)</f>
        <v>0</v>
      </c>
      <c r="K184" s="90"/>
      <c r="L184" s="90"/>
      <c r="M184" s="90"/>
      <c r="N184" s="88">
        <f t="shared" ref="N184:N187" si="214">SUM(O184:Q184)</f>
        <v>0</v>
      </c>
      <c r="O184" s="90">
        <f>839.01-839.01</f>
        <v>0</v>
      </c>
      <c r="P184" s="90"/>
      <c r="Q184" s="90"/>
      <c r="R184" s="88">
        <f t="shared" ref="R184:R187" si="215">SUM(S184:U184)</f>
        <v>0</v>
      </c>
      <c r="S184" s="90">
        <f>755.83-755.83</f>
        <v>0</v>
      </c>
      <c r="T184" s="90"/>
      <c r="U184" s="90"/>
      <c r="V184" s="91"/>
    </row>
    <row r="185" spans="1:22" ht="57.6" customHeight="1">
      <c r="A185" s="98"/>
      <c r="B185" s="105" t="s">
        <v>303</v>
      </c>
      <c r="C185" s="13">
        <v>817</v>
      </c>
      <c r="D185" s="14" t="s">
        <v>301</v>
      </c>
      <c r="E185" s="13" t="s">
        <v>304</v>
      </c>
      <c r="F185" s="88">
        <f t="shared" si="212"/>
        <v>24926.799999999999</v>
      </c>
      <c r="G185" s="90">
        <v>747.8</v>
      </c>
      <c r="H185" s="90">
        <v>24179</v>
      </c>
      <c r="I185" s="90"/>
      <c r="J185" s="88">
        <f t="shared" si="213"/>
        <v>24926.799999999999</v>
      </c>
      <c r="K185" s="90">
        <v>747.8</v>
      </c>
      <c r="L185" s="90">
        <v>24179</v>
      </c>
      <c r="M185" s="90"/>
      <c r="N185" s="88">
        <f t="shared" si="214"/>
        <v>24874.3</v>
      </c>
      <c r="O185" s="90">
        <v>746.2</v>
      </c>
      <c r="P185" s="90">
        <v>24128.1</v>
      </c>
      <c r="Q185" s="90"/>
      <c r="R185" s="88">
        <f t="shared" si="215"/>
        <v>22101.4</v>
      </c>
      <c r="S185" s="90">
        <v>663</v>
      </c>
      <c r="T185" s="90">
        <v>21438.400000000001</v>
      </c>
      <c r="U185" s="90"/>
      <c r="V185" s="91">
        <f t="shared" si="144"/>
        <v>1</v>
      </c>
    </row>
    <row r="186" spans="1:22" ht="96" customHeight="1">
      <c r="A186" s="98"/>
      <c r="B186" s="105" t="s">
        <v>305</v>
      </c>
      <c r="C186" s="13">
        <v>817</v>
      </c>
      <c r="D186" s="14" t="s">
        <v>301</v>
      </c>
      <c r="E186" s="13" t="s">
        <v>306</v>
      </c>
      <c r="F186" s="88">
        <f t="shared" si="212"/>
        <v>1116</v>
      </c>
      <c r="G186" s="90">
        <v>33.5</v>
      </c>
      <c r="H186" s="90">
        <v>1082.5</v>
      </c>
      <c r="I186" s="90"/>
      <c r="J186" s="88">
        <f t="shared" si="213"/>
        <v>526.79999999999995</v>
      </c>
      <c r="K186" s="90">
        <v>15.8</v>
      </c>
      <c r="L186" s="90">
        <v>511</v>
      </c>
      <c r="M186" s="90"/>
      <c r="N186" s="88">
        <f t="shared" si="214"/>
        <v>3092.8</v>
      </c>
      <c r="O186" s="90">
        <v>92.8</v>
      </c>
      <c r="P186" s="90">
        <v>3000</v>
      </c>
      <c r="Q186" s="90"/>
      <c r="R186" s="88">
        <f t="shared" si="215"/>
        <v>3092.8</v>
      </c>
      <c r="S186" s="90">
        <v>92.8</v>
      </c>
      <c r="T186" s="90">
        <v>3000</v>
      </c>
      <c r="U186" s="90"/>
      <c r="V186" s="91">
        <f t="shared" si="144"/>
        <v>0.47199999999999998</v>
      </c>
    </row>
    <row r="187" spans="1:22" ht="93.6" customHeight="1">
      <c r="A187" s="98"/>
      <c r="B187" s="105" t="s">
        <v>305</v>
      </c>
      <c r="C187" s="13">
        <v>817</v>
      </c>
      <c r="D187" s="14" t="s">
        <v>301</v>
      </c>
      <c r="E187" s="11" t="s">
        <v>307</v>
      </c>
      <c r="F187" s="88">
        <f t="shared" si="212"/>
        <v>1285.7</v>
      </c>
      <c r="G187" s="90">
        <v>1285.7</v>
      </c>
      <c r="H187" s="90"/>
      <c r="I187" s="90"/>
      <c r="J187" s="88">
        <f t="shared" si="213"/>
        <v>470</v>
      </c>
      <c r="K187" s="90">
        <v>470</v>
      </c>
      <c r="L187" s="90"/>
      <c r="M187" s="90"/>
      <c r="N187" s="88">
        <f t="shared" si="214"/>
        <v>1285.7</v>
      </c>
      <c r="O187" s="90">
        <v>1285.7</v>
      </c>
      <c r="P187" s="90"/>
      <c r="Q187" s="90"/>
      <c r="R187" s="88">
        <f t="shared" si="215"/>
        <v>1285.7</v>
      </c>
      <c r="S187" s="90">
        <v>1285.7</v>
      </c>
      <c r="T187" s="90"/>
      <c r="U187" s="90"/>
      <c r="V187" s="91">
        <f t="shared" si="144"/>
        <v>0.36599999999999999</v>
      </c>
    </row>
    <row r="188" spans="1:22" ht="69" customHeight="1">
      <c r="A188" s="100" t="s">
        <v>308</v>
      </c>
      <c r="B188" s="111" t="s">
        <v>309</v>
      </c>
      <c r="C188" s="2" t="s">
        <v>19</v>
      </c>
      <c r="D188" s="2" t="s">
        <v>19</v>
      </c>
      <c r="E188" s="2" t="s">
        <v>19</v>
      </c>
      <c r="F188" s="86">
        <f t="shared" ref="F188:U188" si="216">F189+F195</f>
        <v>84989.8</v>
      </c>
      <c r="G188" s="86">
        <f t="shared" si="216"/>
        <v>11735.7</v>
      </c>
      <c r="H188" s="86">
        <f t="shared" si="216"/>
        <v>73254.100000000006</v>
      </c>
      <c r="I188" s="86">
        <f t="shared" si="216"/>
        <v>0</v>
      </c>
      <c r="J188" s="86">
        <f t="shared" si="216"/>
        <v>16006.4</v>
      </c>
      <c r="K188" s="86">
        <f t="shared" si="216"/>
        <v>9505.2999999999993</v>
      </c>
      <c r="L188" s="86">
        <f t="shared" si="216"/>
        <v>6501.1</v>
      </c>
      <c r="M188" s="86">
        <f t="shared" si="216"/>
        <v>0</v>
      </c>
      <c r="N188" s="86">
        <f t="shared" si="216"/>
        <v>0</v>
      </c>
      <c r="O188" s="86">
        <f t="shared" si="216"/>
        <v>0</v>
      </c>
      <c r="P188" s="86">
        <f t="shared" si="216"/>
        <v>0</v>
      </c>
      <c r="Q188" s="86">
        <f t="shared" si="216"/>
        <v>0</v>
      </c>
      <c r="R188" s="86">
        <f t="shared" si="216"/>
        <v>0</v>
      </c>
      <c r="S188" s="86">
        <f t="shared" si="216"/>
        <v>0</v>
      </c>
      <c r="T188" s="86">
        <f t="shared" si="216"/>
        <v>0</v>
      </c>
      <c r="U188" s="86">
        <f t="shared" si="216"/>
        <v>0</v>
      </c>
      <c r="V188" s="87">
        <f t="shared" si="144"/>
        <v>0.188</v>
      </c>
    </row>
    <row r="189" spans="1:22" ht="84" customHeight="1">
      <c r="A189" s="102" t="s">
        <v>310</v>
      </c>
      <c r="B189" s="103" t="s">
        <v>311</v>
      </c>
      <c r="C189" s="12" t="s">
        <v>19</v>
      </c>
      <c r="D189" s="12" t="s">
        <v>19</v>
      </c>
      <c r="E189" s="12" t="s">
        <v>19</v>
      </c>
      <c r="F189" s="88">
        <f>SUM(F191:F194)</f>
        <v>38275.800000000003</v>
      </c>
      <c r="G189" s="88">
        <f>SUM(G191:G194)</f>
        <v>9400</v>
      </c>
      <c r="H189" s="88">
        <f>SUM(H191:H194)</f>
        <v>28875.8</v>
      </c>
      <c r="I189" s="88">
        <f t="shared" ref="I189:U189" si="217">SUM(I191:I194)</f>
        <v>0</v>
      </c>
      <c r="J189" s="88">
        <f>SUM(J191:J194)</f>
        <v>13900</v>
      </c>
      <c r="K189" s="88">
        <f t="shared" si="217"/>
        <v>9400</v>
      </c>
      <c r="L189" s="88">
        <f t="shared" si="217"/>
        <v>4500</v>
      </c>
      <c r="M189" s="88">
        <f t="shared" si="217"/>
        <v>0</v>
      </c>
      <c r="N189" s="88">
        <f>SUM(N191:N194)</f>
        <v>0</v>
      </c>
      <c r="O189" s="88">
        <f t="shared" si="217"/>
        <v>0</v>
      </c>
      <c r="P189" s="88">
        <f t="shared" si="217"/>
        <v>0</v>
      </c>
      <c r="Q189" s="88">
        <f t="shared" si="217"/>
        <v>0</v>
      </c>
      <c r="R189" s="88">
        <f>SUM(R191:R194)</f>
        <v>0</v>
      </c>
      <c r="S189" s="88">
        <f t="shared" si="217"/>
        <v>0</v>
      </c>
      <c r="T189" s="88">
        <f t="shared" si="217"/>
        <v>0</v>
      </c>
      <c r="U189" s="88">
        <f t="shared" si="217"/>
        <v>0</v>
      </c>
      <c r="V189" s="89">
        <f t="shared" si="144"/>
        <v>0.36299999999999999</v>
      </c>
    </row>
    <row r="190" spans="1:22" ht="18.75">
      <c r="A190" s="98"/>
      <c r="B190" s="110" t="s">
        <v>22</v>
      </c>
      <c r="C190" s="13"/>
      <c r="D190" s="13"/>
      <c r="E190" s="13"/>
      <c r="F190" s="88"/>
      <c r="G190" s="90"/>
      <c r="H190" s="90"/>
      <c r="I190" s="90"/>
      <c r="J190" s="88"/>
      <c r="K190" s="90"/>
      <c r="L190" s="90"/>
      <c r="M190" s="90"/>
      <c r="N190" s="88"/>
      <c r="O190" s="90"/>
      <c r="P190" s="90"/>
      <c r="Q190" s="90"/>
      <c r="R190" s="88"/>
      <c r="S190" s="90"/>
      <c r="T190" s="90"/>
      <c r="U190" s="90"/>
      <c r="V190" s="91"/>
    </row>
    <row r="191" spans="1:22" ht="109.15" customHeight="1">
      <c r="A191" s="98"/>
      <c r="B191" s="105" t="s">
        <v>312</v>
      </c>
      <c r="C191" s="13">
        <v>840</v>
      </c>
      <c r="D191" s="14" t="s">
        <v>185</v>
      </c>
      <c r="E191" s="13" t="s">
        <v>313</v>
      </c>
      <c r="F191" s="88">
        <f t="shared" ref="F191:F194" si="218">SUM(G191:I191)</f>
        <v>26875.8</v>
      </c>
      <c r="G191" s="90">
        <v>2500</v>
      </c>
      <c r="H191" s="90">
        <v>24375.8</v>
      </c>
      <c r="I191" s="90"/>
      <c r="J191" s="88">
        <f t="shared" ref="J191:J194" si="219">SUM(K191:M191)</f>
        <v>7000</v>
      </c>
      <c r="K191" s="90">
        <v>2500</v>
      </c>
      <c r="L191" s="90">
        <v>4500</v>
      </c>
      <c r="M191" s="90"/>
      <c r="N191" s="88">
        <f t="shared" ref="N191:N194" si="220">SUM(O191:Q191)</f>
        <v>0</v>
      </c>
      <c r="O191" s="90"/>
      <c r="P191" s="90"/>
      <c r="Q191" s="90"/>
      <c r="R191" s="88">
        <f t="shared" ref="R191:R194" si="221">SUM(S191:U191)</f>
        <v>0</v>
      </c>
      <c r="S191" s="90"/>
      <c r="T191" s="90"/>
      <c r="U191" s="90"/>
      <c r="V191" s="91">
        <f t="shared" si="144"/>
        <v>0.26</v>
      </c>
    </row>
    <row r="192" spans="1:22" ht="98.45" customHeight="1">
      <c r="A192" s="98"/>
      <c r="B192" s="105" t="s">
        <v>312</v>
      </c>
      <c r="C192" s="13">
        <v>816</v>
      </c>
      <c r="D192" s="14" t="s">
        <v>135</v>
      </c>
      <c r="E192" s="13" t="s">
        <v>313</v>
      </c>
      <c r="F192" s="88">
        <f t="shared" si="218"/>
        <v>4500</v>
      </c>
      <c r="G192" s="90"/>
      <c r="H192" s="90">
        <v>4500</v>
      </c>
      <c r="I192" s="90"/>
      <c r="J192" s="88">
        <f t="shared" si="219"/>
        <v>0</v>
      </c>
      <c r="K192" s="90"/>
      <c r="L192" s="90"/>
      <c r="M192" s="90"/>
      <c r="N192" s="88"/>
      <c r="O192" s="90"/>
      <c r="P192" s="90"/>
      <c r="Q192" s="90"/>
      <c r="R192" s="88"/>
      <c r="S192" s="90"/>
      <c r="T192" s="90"/>
      <c r="U192" s="90"/>
      <c r="V192" s="91"/>
    </row>
    <row r="193" spans="1:22" ht="116.45" customHeight="1">
      <c r="A193" s="98"/>
      <c r="B193" s="105" t="s">
        <v>314</v>
      </c>
      <c r="C193" s="13">
        <v>816</v>
      </c>
      <c r="D193" s="14" t="s">
        <v>135</v>
      </c>
      <c r="E193" s="13" t="s">
        <v>315</v>
      </c>
      <c r="F193" s="88">
        <f t="shared" si="218"/>
        <v>0</v>
      </c>
      <c r="G193" s="90">
        <f>6900-6900</f>
        <v>0</v>
      </c>
      <c r="H193" s="90"/>
      <c r="I193" s="90"/>
      <c r="J193" s="88">
        <f t="shared" si="219"/>
        <v>0</v>
      </c>
      <c r="K193" s="90"/>
      <c r="L193" s="90"/>
      <c r="M193" s="90"/>
      <c r="N193" s="88">
        <f t="shared" si="220"/>
        <v>0</v>
      </c>
      <c r="O193" s="90"/>
      <c r="P193" s="90"/>
      <c r="Q193" s="90"/>
      <c r="R193" s="88">
        <f t="shared" si="221"/>
        <v>0</v>
      </c>
      <c r="S193" s="90"/>
      <c r="T193" s="90"/>
      <c r="U193" s="90"/>
      <c r="V193" s="91"/>
    </row>
    <row r="194" spans="1:22" ht="118.9" customHeight="1">
      <c r="A194" s="98"/>
      <c r="B194" s="105" t="s">
        <v>314</v>
      </c>
      <c r="C194" s="13">
        <v>816</v>
      </c>
      <c r="D194" s="14" t="s">
        <v>135</v>
      </c>
      <c r="E194" s="13" t="s">
        <v>316</v>
      </c>
      <c r="F194" s="88">
        <f t="shared" si="218"/>
        <v>6900</v>
      </c>
      <c r="G194" s="90">
        <v>6900</v>
      </c>
      <c r="H194" s="90"/>
      <c r="I194" s="90"/>
      <c r="J194" s="88">
        <f t="shared" si="219"/>
        <v>6900</v>
      </c>
      <c r="K194" s="90">
        <f>2079.62+1193.42+2697.24+898.01+31.71</f>
        <v>6900</v>
      </c>
      <c r="L194" s="90"/>
      <c r="M194" s="90"/>
      <c r="N194" s="88">
        <f t="shared" si="220"/>
        <v>0</v>
      </c>
      <c r="O194" s="90"/>
      <c r="P194" s="90"/>
      <c r="Q194" s="90"/>
      <c r="R194" s="88">
        <f t="shared" si="221"/>
        <v>0</v>
      </c>
      <c r="S194" s="90"/>
      <c r="T194" s="90"/>
      <c r="U194" s="90"/>
      <c r="V194" s="91">
        <f t="shared" si="144"/>
        <v>1</v>
      </c>
    </row>
    <row r="195" spans="1:22" ht="118.9" customHeight="1">
      <c r="A195" s="113" t="s">
        <v>317</v>
      </c>
      <c r="B195" s="103" t="s">
        <v>318</v>
      </c>
      <c r="C195" s="12" t="s">
        <v>19</v>
      </c>
      <c r="D195" s="12" t="s">
        <v>19</v>
      </c>
      <c r="E195" s="47" t="s">
        <v>19</v>
      </c>
      <c r="F195" s="88">
        <f>SUM(F197:F198)</f>
        <v>46714</v>
      </c>
      <c r="G195" s="88">
        <f t="shared" ref="G195:U195" si="222">SUM(G197:G198)</f>
        <v>2335.6999999999998</v>
      </c>
      <c r="H195" s="88">
        <f t="shared" si="222"/>
        <v>44378.3</v>
      </c>
      <c r="I195" s="88">
        <f t="shared" si="222"/>
        <v>0</v>
      </c>
      <c r="J195" s="88">
        <f>SUM(J197:J198)</f>
        <v>2106.4</v>
      </c>
      <c r="K195" s="88">
        <f t="shared" si="222"/>
        <v>105.3</v>
      </c>
      <c r="L195" s="88">
        <f t="shared" si="222"/>
        <v>2001.1</v>
      </c>
      <c r="M195" s="88">
        <f t="shared" si="222"/>
        <v>0</v>
      </c>
      <c r="N195" s="88">
        <f>SUM(N197:N198)</f>
        <v>0</v>
      </c>
      <c r="O195" s="88">
        <f t="shared" si="222"/>
        <v>0</v>
      </c>
      <c r="P195" s="88">
        <f t="shared" si="222"/>
        <v>0</v>
      </c>
      <c r="Q195" s="88">
        <f t="shared" si="222"/>
        <v>0</v>
      </c>
      <c r="R195" s="88">
        <f>SUM(R197:R198)</f>
        <v>0</v>
      </c>
      <c r="S195" s="88">
        <f t="shared" si="222"/>
        <v>0</v>
      </c>
      <c r="T195" s="88">
        <f t="shared" si="222"/>
        <v>0</v>
      </c>
      <c r="U195" s="88">
        <f t="shared" si="222"/>
        <v>0</v>
      </c>
      <c r="V195" s="89">
        <f t="shared" si="144"/>
        <v>4.4999999999999998E-2</v>
      </c>
    </row>
    <row r="196" spans="1:22" ht="18.75">
      <c r="A196" s="98"/>
      <c r="B196" s="110" t="s">
        <v>22</v>
      </c>
      <c r="C196" s="13"/>
      <c r="D196" s="14"/>
      <c r="E196" s="13"/>
      <c r="F196" s="88"/>
      <c r="G196" s="90"/>
      <c r="H196" s="90"/>
      <c r="I196" s="90"/>
      <c r="J196" s="88"/>
      <c r="K196" s="90"/>
      <c r="L196" s="90"/>
      <c r="M196" s="90"/>
      <c r="N196" s="88"/>
      <c r="O196" s="90"/>
      <c r="P196" s="90"/>
      <c r="Q196" s="90"/>
      <c r="R196" s="88"/>
      <c r="S196" s="90"/>
      <c r="T196" s="90"/>
      <c r="U196" s="90"/>
      <c r="V196" s="91"/>
    </row>
    <row r="197" spans="1:22" ht="84" customHeight="1">
      <c r="A197" s="98" t="s">
        <v>23</v>
      </c>
      <c r="B197" s="105" t="s">
        <v>319</v>
      </c>
      <c r="C197" s="13">
        <v>839</v>
      </c>
      <c r="D197" s="14" t="s">
        <v>25</v>
      </c>
      <c r="E197" s="13" t="s">
        <v>320</v>
      </c>
      <c r="F197" s="88">
        <f t="shared" ref="F197:F198" si="223">SUM(G197:I197)</f>
        <v>19124.8</v>
      </c>
      <c r="G197" s="90">
        <v>956.3</v>
      </c>
      <c r="H197" s="90">
        <v>18168.5</v>
      </c>
      <c r="I197" s="90"/>
      <c r="J197" s="88">
        <f t="shared" ref="J197:J198" si="224">SUM(K197:M197)</f>
        <v>300.60000000000002</v>
      </c>
      <c r="K197" s="90">
        <v>15</v>
      </c>
      <c r="L197" s="90">
        <v>285.60000000000002</v>
      </c>
      <c r="M197" s="90"/>
      <c r="N197" s="88">
        <f t="shared" ref="N197:N198" si="225">SUM(O197:Q197)</f>
        <v>0</v>
      </c>
      <c r="O197" s="90"/>
      <c r="P197" s="90"/>
      <c r="Q197" s="90"/>
      <c r="R197" s="88">
        <f t="shared" ref="R197:R198" si="226">SUM(S197:U197)</f>
        <v>0</v>
      </c>
      <c r="S197" s="90"/>
      <c r="T197" s="90"/>
      <c r="U197" s="90"/>
      <c r="V197" s="91">
        <f t="shared" si="144"/>
        <v>1.6E-2</v>
      </c>
    </row>
    <row r="198" spans="1:22" ht="150">
      <c r="A198" s="98" t="s">
        <v>23</v>
      </c>
      <c r="B198" s="105" t="s">
        <v>321</v>
      </c>
      <c r="C198" s="13">
        <v>839</v>
      </c>
      <c r="D198" s="14" t="s">
        <v>25</v>
      </c>
      <c r="E198" s="13" t="s">
        <v>322</v>
      </c>
      <c r="F198" s="88">
        <f t="shared" si="223"/>
        <v>27589.200000000001</v>
      </c>
      <c r="G198" s="90">
        <v>1379.4</v>
      </c>
      <c r="H198" s="90">
        <v>26209.8</v>
      </c>
      <c r="I198" s="90"/>
      <c r="J198" s="88">
        <f t="shared" si="224"/>
        <v>1805.8</v>
      </c>
      <c r="K198" s="90">
        <v>90.3</v>
      </c>
      <c r="L198" s="90">
        <v>1715.5</v>
      </c>
      <c r="M198" s="90"/>
      <c r="N198" s="88">
        <f t="shared" si="225"/>
        <v>0</v>
      </c>
      <c r="O198" s="90"/>
      <c r="P198" s="90"/>
      <c r="Q198" s="90"/>
      <c r="R198" s="88">
        <f t="shared" si="226"/>
        <v>0</v>
      </c>
      <c r="S198" s="90"/>
      <c r="T198" s="90"/>
      <c r="U198" s="90"/>
      <c r="V198" s="91">
        <f t="shared" si="144"/>
        <v>6.5000000000000002E-2</v>
      </c>
    </row>
    <row r="199" spans="1:22">
      <c r="A199" s="19"/>
      <c r="B199" s="25" t="s">
        <v>323</v>
      </c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</row>
    <row r="200" spans="1:22">
      <c r="A200" s="19"/>
      <c r="B200" s="25" t="s">
        <v>324</v>
      </c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</row>
  </sheetData>
  <mergeCells count="16">
    <mergeCell ref="A4:A6"/>
    <mergeCell ref="B4:B6"/>
    <mergeCell ref="C4:C6"/>
    <mergeCell ref="D4:D6"/>
    <mergeCell ref="E4:E6"/>
    <mergeCell ref="I135:I136"/>
    <mergeCell ref="V4:V6"/>
    <mergeCell ref="B1:T2"/>
    <mergeCell ref="F4:M4"/>
    <mergeCell ref="N4:Q4"/>
    <mergeCell ref="R4:U4"/>
    <mergeCell ref="F5:I5"/>
    <mergeCell ref="J5:M5"/>
    <mergeCell ref="N5:Q5"/>
    <mergeCell ref="R5:U5"/>
    <mergeCell ref="M135:M136"/>
  </mergeCells>
  <printOptions horizontalCentered="1"/>
  <pageMargins left="0" right="0" top="0.39370078740157483" bottom="0.59055118110236227" header="0.31496062992125984" footer="0.31496062992125984"/>
  <pageSetup paperSize="8" scale="53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11" sqref="F11"/>
    </sheetView>
  </sheetViews>
  <sheetFormatPr defaultRowHeight="15"/>
  <sheetData>
    <row r="1" spans="1:1">
      <c r="A1" t="s">
        <v>346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2"/>
  <sheetViews>
    <sheetView workbookViewId="0">
      <selection activeCell="C20" sqref="C20"/>
    </sheetView>
  </sheetViews>
  <sheetFormatPr defaultRowHeight="16.899999999999999" customHeight="1"/>
  <cols>
    <col min="2" max="2" width="57.28515625" customWidth="1"/>
    <col min="3" max="4" width="13.5703125" customWidth="1"/>
    <col min="6" max="6" width="24.28515625" customWidth="1"/>
  </cols>
  <sheetData>
    <row r="1" spans="1:7" ht="58.15" customHeight="1" thickBot="1">
      <c r="A1" s="38" t="s">
        <v>0</v>
      </c>
      <c r="B1" s="39" t="s">
        <v>1</v>
      </c>
      <c r="C1" s="39" t="s">
        <v>348</v>
      </c>
      <c r="D1" s="39" t="s">
        <v>347</v>
      </c>
      <c r="E1" s="39" t="s">
        <v>345</v>
      </c>
      <c r="F1">
        <f>Лист1!H3</f>
        <v>0</v>
      </c>
      <c r="G1">
        <f>Лист1!K3</f>
        <v>0</v>
      </c>
    </row>
    <row r="2" spans="1:7" ht="16.899999999999999" customHeight="1" thickBot="1">
      <c r="A2" s="40"/>
      <c r="B2" s="41" t="s">
        <v>17</v>
      </c>
      <c r="C2" s="48">
        <f>SUM(C3:C12)</f>
        <v>9.6280000000000001</v>
      </c>
      <c r="D2" s="48">
        <f>SUM(D3:D12)</f>
        <v>6.0490000000000004</v>
      </c>
      <c r="E2" s="44">
        <f>D2/C2</f>
        <v>0.628</v>
      </c>
      <c r="F2" s="50">
        <f>SUM(F3:F12)</f>
        <v>9.6280000000000001</v>
      </c>
      <c r="G2" s="50">
        <f>SUM(G3:G12)</f>
        <v>6.0490000000000004</v>
      </c>
    </row>
    <row r="3" spans="1:7" ht="16.899999999999999" customHeight="1" thickBot="1">
      <c r="A3" s="40">
        <v>1</v>
      </c>
      <c r="B3" s="42" t="s">
        <v>18</v>
      </c>
      <c r="C3" s="49">
        <f>SUM(Лист1!G9:H9)/1000000</f>
        <v>2.9430000000000001</v>
      </c>
      <c r="D3" s="49">
        <f>SUM(Лист1!K9:L9)/1000000</f>
        <v>1.27</v>
      </c>
      <c r="E3" s="45">
        <v>0.371</v>
      </c>
      <c r="F3" s="50">
        <v>2.9430000000000001</v>
      </c>
      <c r="G3" s="50">
        <v>1.27</v>
      </c>
    </row>
    <row r="4" spans="1:7" ht="16.899999999999999" customHeight="1" thickBot="1">
      <c r="A4" s="40">
        <v>2</v>
      </c>
      <c r="B4" s="42" t="s">
        <v>76</v>
      </c>
      <c r="C4" s="49">
        <f>SUM(Лист1!G41:H41)/1000000</f>
        <v>1.216</v>
      </c>
      <c r="D4" s="49">
        <f>SUM(Лист1!K41:L41)/1000000</f>
        <v>0.56899999999999995</v>
      </c>
      <c r="E4" s="45">
        <v>0.33300000000000002</v>
      </c>
      <c r="F4" s="50">
        <v>1.216</v>
      </c>
      <c r="G4" s="50">
        <v>0.56899999999999995</v>
      </c>
    </row>
    <row r="5" spans="1:7" ht="16.899999999999999" customHeight="1" thickBot="1">
      <c r="A5" s="40">
        <v>3</v>
      </c>
      <c r="B5" s="42" t="s">
        <v>118</v>
      </c>
      <c r="C5" s="49">
        <f>SUM(Лист1!G67:H67)/1000000</f>
        <v>1.48</v>
      </c>
      <c r="D5" s="49">
        <f>SUM(Лист1!K67:L67)/1000000</f>
        <v>1.2529999999999999</v>
      </c>
      <c r="E5" s="45">
        <v>0.81</v>
      </c>
      <c r="F5" s="50">
        <v>1.48</v>
      </c>
      <c r="G5" s="50">
        <v>1.2529999999999999</v>
      </c>
    </row>
    <row r="6" spans="1:7" ht="16.899999999999999" customHeight="1" thickBot="1">
      <c r="A6" s="40">
        <v>4</v>
      </c>
      <c r="B6" s="42" t="s">
        <v>177</v>
      </c>
      <c r="C6" s="49">
        <f>SUM(Лист1!G102:H102)/1000000</f>
        <v>0.114</v>
      </c>
      <c r="D6" s="49">
        <f>SUM(Лист1!K102:L102)/1000000</f>
        <v>6.8000000000000005E-2</v>
      </c>
      <c r="E6" s="45">
        <v>0.47</v>
      </c>
      <c r="F6" s="50">
        <v>0.114</v>
      </c>
      <c r="G6" s="50">
        <v>6.8000000000000005E-2</v>
      </c>
    </row>
    <row r="7" spans="1:7" ht="16.899999999999999" customHeight="1" thickBot="1">
      <c r="A7" s="40">
        <v>5</v>
      </c>
      <c r="B7" s="43" t="s">
        <v>211</v>
      </c>
      <c r="C7" s="49">
        <f>SUM(Лист1!G125:H125)/1000000</f>
        <v>0.98899999999999999</v>
      </c>
      <c r="D7" s="49">
        <f>SUM(Лист1!K125:L125)/1000000</f>
        <v>0.22800000000000001</v>
      </c>
      <c r="E7" s="45">
        <v>0.14899999999999999</v>
      </c>
      <c r="F7" s="50">
        <v>0.98899999999999999</v>
      </c>
      <c r="G7" s="50">
        <v>0.22800000000000001</v>
      </c>
    </row>
    <row r="8" spans="1:7" ht="16.899999999999999" customHeight="1" thickBot="1">
      <c r="A8" s="40">
        <v>6</v>
      </c>
      <c r="B8" s="42" t="s">
        <v>229</v>
      </c>
      <c r="C8" s="49">
        <f>SUM(Лист1!G137:H137)/1000000</f>
        <v>0.16400000000000001</v>
      </c>
      <c r="D8" s="49">
        <f>SUM(Лист1!K137:L137)/1000000</f>
        <v>6.3E-2</v>
      </c>
      <c r="E8" s="45">
        <v>0.33700000000000002</v>
      </c>
      <c r="F8" s="50">
        <v>0.16400000000000001</v>
      </c>
      <c r="G8" s="50">
        <v>6.3E-2</v>
      </c>
    </row>
    <row r="9" spans="1:7" ht="16.899999999999999" customHeight="1" thickBot="1">
      <c r="A9" s="40">
        <v>7</v>
      </c>
      <c r="B9" s="43" t="s">
        <v>254</v>
      </c>
      <c r="C9" s="49">
        <f>SUM(Лист1!G152:H152)/1000000</f>
        <v>2.2919999999999998</v>
      </c>
      <c r="D9" s="49">
        <f>SUM(Лист1!K152:L152)/1000000</f>
        <v>2.2879999999999998</v>
      </c>
      <c r="E9" s="45">
        <v>0.874</v>
      </c>
      <c r="F9" s="50">
        <v>2.2919999999999998</v>
      </c>
      <c r="G9" s="50">
        <v>2.2879999999999998</v>
      </c>
    </row>
    <row r="10" spans="1:7" ht="16.899999999999999" customHeight="1" thickBot="1">
      <c r="A10" s="40">
        <v>8</v>
      </c>
      <c r="B10" s="42" t="s">
        <v>261</v>
      </c>
      <c r="C10" s="49">
        <f>SUM(Лист1!G156:H156)/1000000</f>
        <v>0.13200000000000001</v>
      </c>
      <c r="D10" s="49">
        <f>SUM(Лист1!K156:L156)/1000000</f>
        <v>9.7000000000000003E-2</v>
      </c>
      <c r="E10" s="45">
        <v>0.66800000000000004</v>
      </c>
      <c r="F10" s="50">
        <v>0.13200000000000001</v>
      </c>
      <c r="G10" s="50">
        <v>9.7000000000000003E-2</v>
      </c>
    </row>
    <row r="11" spans="1:7" ht="16.899999999999999" customHeight="1" thickBot="1">
      <c r="A11" s="40">
        <v>9</v>
      </c>
      <c r="B11" s="43" t="s">
        <v>279</v>
      </c>
      <c r="C11" s="49">
        <f>SUM(Лист1!G168:H168)/1000000</f>
        <v>0.21299999999999999</v>
      </c>
      <c r="D11" s="49">
        <f>SUM(Лист1!K168:L168)/1000000</f>
        <v>0.19700000000000001</v>
      </c>
      <c r="E11" s="45">
        <v>0.94399999999999995</v>
      </c>
      <c r="F11" s="50">
        <v>0.21299999999999999</v>
      </c>
      <c r="G11" s="50">
        <v>0.19700000000000001</v>
      </c>
    </row>
    <row r="12" spans="1:7" ht="16.899999999999999" customHeight="1" thickBot="1">
      <c r="A12" s="40">
        <v>10</v>
      </c>
      <c r="B12" s="43" t="s">
        <v>309</v>
      </c>
      <c r="C12" s="49">
        <f>SUM(Лист1!G188:H188)/1000000</f>
        <v>8.5000000000000006E-2</v>
      </c>
      <c r="D12" s="49">
        <f>SUM(Лист1!K188:L188)/1000000</f>
        <v>1.6E-2</v>
      </c>
      <c r="E12" s="45">
        <v>0.17499999999999999</v>
      </c>
      <c r="F12" s="50">
        <v>8.5000000000000006E-2</v>
      </c>
      <c r="G12" s="50">
        <v>1.6E-2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3:K107"/>
  <sheetViews>
    <sheetView workbookViewId="0">
      <selection activeCell="D95" sqref="D95"/>
    </sheetView>
  </sheetViews>
  <sheetFormatPr defaultRowHeight="12" customHeight="1"/>
  <cols>
    <col min="1" max="1" width="12.28515625" customWidth="1"/>
    <col min="2" max="2" width="32.28515625" customWidth="1"/>
    <col min="3" max="4" width="12.28515625" customWidth="1"/>
    <col min="11" max="11" width="22.85546875" customWidth="1"/>
  </cols>
  <sheetData>
    <row r="3" spans="1:11" ht="12" customHeight="1">
      <c r="A3" s="51" t="s">
        <v>350</v>
      </c>
      <c r="B3" s="51" t="s">
        <v>351</v>
      </c>
      <c r="C3" s="51" t="s">
        <v>352</v>
      </c>
      <c r="D3" s="51" t="s">
        <v>353</v>
      </c>
    </row>
    <row r="4" spans="1:11" ht="12" customHeight="1">
      <c r="A4" s="52" t="s">
        <v>186</v>
      </c>
      <c r="B4" s="53" t="s">
        <v>184</v>
      </c>
      <c r="C4" s="54">
        <v>56878281.5</v>
      </c>
      <c r="D4" s="54">
        <v>35000000</v>
      </c>
      <c r="E4" s="54">
        <v>56878.3</v>
      </c>
      <c r="F4" s="54">
        <v>35000</v>
      </c>
      <c r="G4" s="54" t="s">
        <v>186</v>
      </c>
      <c r="H4" t="b">
        <f>G4=A4</f>
        <v>1</v>
      </c>
      <c r="I4" s="60">
        <f>C4/1000-E4</f>
        <v>0</v>
      </c>
      <c r="J4" s="60">
        <f>D4/1000-F4</f>
        <v>0</v>
      </c>
    </row>
    <row r="5" spans="1:11" ht="12" customHeight="1">
      <c r="A5" s="52" t="s">
        <v>285</v>
      </c>
      <c r="B5" s="53" t="s">
        <v>284</v>
      </c>
      <c r="C5" s="54">
        <v>16405051.550000001</v>
      </c>
      <c r="D5" s="54">
        <v>12292061.859999999</v>
      </c>
      <c r="E5" s="54">
        <v>16405.099999999999</v>
      </c>
      <c r="F5" s="54">
        <v>12292.1</v>
      </c>
      <c r="G5" s="54" t="s">
        <v>285</v>
      </c>
      <c r="H5" t="b">
        <f t="shared" ref="H5:H68" si="0">G5=A5</f>
        <v>1</v>
      </c>
      <c r="I5" s="60">
        <f t="shared" ref="I5:I68" si="1">C5/1000-E5</f>
        <v>0</v>
      </c>
      <c r="J5" s="60">
        <f t="shared" ref="J5:J68" si="2">D5/1000-F5</f>
        <v>0</v>
      </c>
    </row>
    <row r="6" spans="1:11" ht="12" customHeight="1">
      <c r="A6" s="52" t="s">
        <v>288</v>
      </c>
      <c r="B6" s="53" t="s">
        <v>282</v>
      </c>
      <c r="C6" s="54">
        <v>114390313.41</v>
      </c>
      <c r="D6" s="54">
        <v>114390309.29000001</v>
      </c>
      <c r="E6" s="54">
        <v>114390.3</v>
      </c>
      <c r="F6" s="54">
        <v>114390.3</v>
      </c>
      <c r="G6" s="54" t="s">
        <v>288</v>
      </c>
      <c r="H6" t="b">
        <f t="shared" si="0"/>
        <v>1</v>
      </c>
      <c r="I6" s="60">
        <f t="shared" si="1"/>
        <v>0</v>
      </c>
      <c r="J6" s="60">
        <f t="shared" si="2"/>
        <v>0</v>
      </c>
      <c r="K6" s="54" t="s">
        <v>31</v>
      </c>
    </row>
    <row r="7" spans="1:11" ht="12" customHeight="1">
      <c r="A7" s="52" t="s">
        <v>290</v>
      </c>
      <c r="B7" s="53" t="s">
        <v>289</v>
      </c>
      <c r="C7" s="54">
        <v>10309278.35</v>
      </c>
      <c r="D7" s="54">
        <v>0</v>
      </c>
      <c r="E7" s="54">
        <v>10309.299999999999</v>
      </c>
      <c r="F7" s="54">
        <v>0</v>
      </c>
      <c r="G7" s="54" t="s">
        <v>290</v>
      </c>
      <c r="H7" t="b">
        <f t="shared" si="0"/>
        <v>1</v>
      </c>
      <c r="I7" s="60">
        <f t="shared" si="1"/>
        <v>0</v>
      </c>
      <c r="J7" s="60">
        <f t="shared" si="2"/>
        <v>0</v>
      </c>
    </row>
    <row r="8" spans="1:11" ht="12" customHeight="1">
      <c r="A8" s="52" t="s">
        <v>292</v>
      </c>
      <c r="B8" s="53" t="s">
        <v>291</v>
      </c>
      <c r="C8" s="54">
        <v>7628886.5899999999</v>
      </c>
      <c r="D8" s="54">
        <v>7628865.9699999997</v>
      </c>
      <c r="E8" s="54">
        <v>7628.9</v>
      </c>
      <c r="F8" s="54">
        <v>7628.9</v>
      </c>
      <c r="G8" s="54" t="s">
        <v>292</v>
      </c>
      <c r="H8" t="b">
        <f t="shared" si="0"/>
        <v>1</v>
      </c>
      <c r="I8" s="60">
        <f t="shared" si="1"/>
        <v>0</v>
      </c>
      <c r="J8" s="60">
        <f t="shared" si="2"/>
        <v>0</v>
      </c>
    </row>
    <row r="9" spans="1:11" ht="12" customHeight="1">
      <c r="A9" s="52" t="s">
        <v>294</v>
      </c>
      <c r="B9" s="53" t="s">
        <v>293</v>
      </c>
      <c r="C9" s="54">
        <v>28124845.359999999</v>
      </c>
      <c r="D9" s="54">
        <v>28124845.359999999</v>
      </c>
      <c r="E9" s="54">
        <v>28124.799999999999</v>
      </c>
      <c r="F9" s="54">
        <v>28124.799999999999</v>
      </c>
      <c r="G9" s="54" t="s">
        <v>294</v>
      </c>
      <c r="H9" t="b">
        <f t="shared" si="0"/>
        <v>1</v>
      </c>
      <c r="I9" s="60">
        <f t="shared" si="1"/>
        <v>0</v>
      </c>
      <c r="J9" s="60">
        <f t="shared" si="2"/>
        <v>0</v>
      </c>
    </row>
    <row r="10" spans="1:11" ht="12" customHeight="1">
      <c r="A10" s="52" t="s">
        <v>297</v>
      </c>
      <c r="B10" s="53" t="s">
        <v>282</v>
      </c>
      <c r="C10" s="54">
        <v>9090412.3699999992</v>
      </c>
      <c r="D10" s="54">
        <v>9090412.3699999992</v>
      </c>
      <c r="E10" s="54">
        <v>9090.4</v>
      </c>
      <c r="F10" s="54">
        <v>9090.4</v>
      </c>
      <c r="G10" s="54" t="s">
        <v>297</v>
      </c>
      <c r="H10" t="b">
        <f t="shared" si="0"/>
        <v>1</v>
      </c>
      <c r="I10" s="60">
        <f t="shared" si="1"/>
        <v>0</v>
      </c>
      <c r="J10" s="60">
        <f t="shared" si="2"/>
        <v>0</v>
      </c>
    </row>
    <row r="11" spans="1:11" ht="12" customHeight="1">
      <c r="A11" s="52" t="s">
        <v>313</v>
      </c>
      <c r="B11" s="53" t="s">
        <v>312</v>
      </c>
      <c r="C11" s="54">
        <v>31375800</v>
      </c>
      <c r="D11" s="54">
        <v>7000000</v>
      </c>
      <c r="E11" s="54">
        <v>26875.8</v>
      </c>
      <c r="F11" s="54">
        <v>7000</v>
      </c>
      <c r="G11" s="54" t="s">
        <v>313</v>
      </c>
      <c r="H11" t="b">
        <f t="shared" si="0"/>
        <v>1</v>
      </c>
      <c r="I11" s="60">
        <f t="shared" si="1"/>
        <v>4500</v>
      </c>
      <c r="J11" s="60">
        <f t="shared" si="2"/>
        <v>0</v>
      </c>
    </row>
    <row r="12" spans="1:11" ht="12" customHeight="1">
      <c r="A12" s="52"/>
      <c r="B12" s="53"/>
      <c r="C12" s="54"/>
      <c r="D12" s="54"/>
      <c r="E12" s="54">
        <v>4500</v>
      </c>
      <c r="F12" s="54">
        <v>0</v>
      </c>
      <c r="G12" s="54" t="s">
        <v>313</v>
      </c>
      <c r="I12" s="60">
        <f t="shared" si="1"/>
        <v>-4500</v>
      </c>
      <c r="J12" s="60">
        <f t="shared" si="2"/>
        <v>0</v>
      </c>
    </row>
    <row r="13" spans="1:11" ht="12" customHeight="1">
      <c r="A13" s="52" t="s">
        <v>316</v>
      </c>
      <c r="B13" s="53" t="s">
        <v>314</v>
      </c>
      <c r="C13" s="54">
        <v>6900000</v>
      </c>
      <c r="D13" s="54">
        <v>6900000</v>
      </c>
      <c r="E13" s="54">
        <v>6900</v>
      </c>
      <c r="F13" s="54">
        <v>6900</v>
      </c>
      <c r="G13" s="54" t="s">
        <v>316</v>
      </c>
      <c r="H13" t="b">
        <f t="shared" si="0"/>
        <v>1</v>
      </c>
      <c r="I13" s="60">
        <f t="shared" si="1"/>
        <v>0</v>
      </c>
      <c r="J13" s="60">
        <f t="shared" si="2"/>
        <v>0</v>
      </c>
    </row>
    <row r="14" spans="1:11" ht="12" customHeight="1">
      <c r="A14" s="52" t="s">
        <v>320</v>
      </c>
      <c r="B14" s="53" t="s">
        <v>319</v>
      </c>
      <c r="C14" s="54">
        <v>19124800</v>
      </c>
      <c r="D14" s="54">
        <v>300645.40000000002</v>
      </c>
      <c r="E14" s="54">
        <v>19124.8</v>
      </c>
      <c r="F14" s="54">
        <v>300.60000000000002</v>
      </c>
      <c r="G14" s="54" t="s">
        <v>320</v>
      </c>
      <c r="H14" t="b">
        <f t="shared" si="0"/>
        <v>1</v>
      </c>
      <c r="I14" s="60">
        <f t="shared" si="1"/>
        <v>0</v>
      </c>
      <c r="J14" s="60">
        <f t="shared" si="2"/>
        <v>0</v>
      </c>
    </row>
    <row r="15" spans="1:11" ht="12" customHeight="1">
      <c r="A15" s="52" t="s">
        <v>322</v>
      </c>
      <c r="B15" s="53" t="s">
        <v>321</v>
      </c>
      <c r="C15" s="54">
        <v>27589200</v>
      </c>
      <c r="D15" s="54">
        <v>1805800</v>
      </c>
      <c r="E15" s="54">
        <v>27589.200000000001</v>
      </c>
      <c r="F15" s="54">
        <v>1805.8</v>
      </c>
      <c r="G15" s="54" t="s">
        <v>322</v>
      </c>
      <c r="H15" t="b">
        <f t="shared" si="0"/>
        <v>1</v>
      </c>
      <c r="I15" s="60">
        <f t="shared" si="1"/>
        <v>0</v>
      </c>
      <c r="J15" s="60">
        <f t="shared" si="2"/>
        <v>0</v>
      </c>
    </row>
    <row r="16" spans="1:11" ht="12" customHeight="1">
      <c r="A16" s="52" t="s">
        <v>26</v>
      </c>
      <c r="B16" s="53" t="s">
        <v>24</v>
      </c>
      <c r="C16" s="54">
        <v>25141677</v>
      </c>
      <c r="D16" s="54">
        <v>4814897.17</v>
      </c>
      <c r="E16" s="54">
        <v>25141.7</v>
      </c>
      <c r="F16" s="59">
        <v>4814.8999999999996</v>
      </c>
      <c r="G16" s="54" t="s">
        <v>26</v>
      </c>
      <c r="H16" t="b">
        <f t="shared" si="0"/>
        <v>1</v>
      </c>
      <c r="I16" s="60">
        <f t="shared" si="1"/>
        <v>0</v>
      </c>
      <c r="J16" s="60">
        <f t="shared" si="2"/>
        <v>0</v>
      </c>
      <c r="K16" s="60">
        <f>D16/1000</f>
        <v>4814.8999999999996</v>
      </c>
    </row>
    <row r="17" spans="1:11" ht="12" customHeight="1">
      <c r="A17" s="52" t="s">
        <v>28</v>
      </c>
      <c r="B17" s="53" t="s">
        <v>27</v>
      </c>
      <c r="C17" s="54">
        <v>3481523</v>
      </c>
      <c r="D17" s="54">
        <v>818208</v>
      </c>
      <c r="E17" s="54">
        <v>3481.5</v>
      </c>
      <c r="F17" s="54">
        <v>818.2</v>
      </c>
      <c r="G17" s="54" t="s">
        <v>28</v>
      </c>
      <c r="H17" t="b">
        <f t="shared" si="0"/>
        <v>1</v>
      </c>
      <c r="I17" s="60">
        <f t="shared" si="1"/>
        <v>0</v>
      </c>
      <c r="J17" s="60">
        <f t="shared" si="2"/>
        <v>0</v>
      </c>
    </row>
    <row r="18" spans="1:11" ht="12" customHeight="1">
      <c r="A18" s="52" t="s">
        <v>304</v>
      </c>
      <c r="B18" s="53" t="s">
        <v>303</v>
      </c>
      <c r="C18" s="54">
        <v>24926845.370000001</v>
      </c>
      <c r="D18" s="54">
        <v>24926845.370000001</v>
      </c>
      <c r="E18" s="54">
        <v>24926.799999999999</v>
      </c>
      <c r="F18" s="54">
        <v>24926.799999999999</v>
      </c>
      <c r="G18" s="54" t="s">
        <v>304</v>
      </c>
      <c r="H18" t="b">
        <f t="shared" si="0"/>
        <v>1</v>
      </c>
      <c r="I18" s="60">
        <f t="shared" si="1"/>
        <v>0</v>
      </c>
      <c r="J18" s="60">
        <f t="shared" si="2"/>
        <v>0</v>
      </c>
    </row>
    <row r="19" spans="1:11" ht="12" customHeight="1">
      <c r="A19" s="52" t="s">
        <v>306</v>
      </c>
      <c r="B19" s="53" t="s">
        <v>305</v>
      </c>
      <c r="C19" s="54">
        <v>1115938.1399999999</v>
      </c>
      <c r="D19" s="54">
        <v>526750</v>
      </c>
      <c r="E19" s="59">
        <v>1116</v>
      </c>
      <c r="F19" s="54">
        <v>526.79999999999995</v>
      </c>
      <c r="G19" s="54" t="s">
        <v>306</v>
      </c>
      <c r="H19" t="b">
        <f t="shared" si="0"/>
        <v>1</v>
      </c>
      <c r="I19" s="60">
        <f t="shared" si="1"/>
        <v>-0.1</v>
      </c>
      <c r="J19" s="60">
        <f t="shared" si="2"/>
        <v>0</v>
      </c>
      <c r="K19" s="60">
        <f>C19/1000</f>
        <v>1115.9000000000001</v>
      </c>
    </row>
    <row r="20" spans="1:11" ht="12" customHeight="1">
      <c r="A20" s="52" t="s">
        <v>307</v>
      </c>
      <c r="B20" s="53" t="s">
        <v>305</v>
      </c>
      <c r="C20" s="54">
        <v>1285715</v>
      </c>
      <c r="D20" s="54">
        <v>469988.4</v>
      </c>
      <c r="E20" s="54">
        <v>1285.7</v>
      </c>
      <c r="F20" s="54">
        <v>470</v>
      </c>
      <c r="G20" s="54" t="s">
        <v>307</v>
      </c>
      <c r="H20" t="b">
        <f t="shared" si="0"/>
        <v>1</v>
      </c>
      <c r="I20" s="60">
        <f t="shared" si="1"/>
        <v>0</v>
      </c>
      <c r="J20" s="60">
        <f t="shared" si="2"/>
        <v>0</v>
      </c>
    </row>
    <row r="21" spans="1:11" ht="12" customHeight="1">
      <c r="A21" s="52" t="s">
        <v>86</v>
      </c>
      <c r="B21" s="53" t="s">
        <v>85</v>
      </c>
      <c r="C21" s="54">
        <v>6000000</v>
      </c>
      <c r="D21" s="54">
        <v>6000000</v>
      </c>
      <c r="E21" s="54">
        <v>6000</v>
      </c>
      <c r="F21" s="54">
        <v>6000</v>
      </c>
      <c r="G21" s="54" t="s">
        <v>86</v>
      </c>
      <c r="H21" t="b">
        <f t="shared" si="0"/>
        <v>1</v>
      </c>
      <c r="I21" s="60">
        <f t="shared" si="1"/>
        <v>0</v>
      </c>
      <c r="J21" s="60">
        <f t="shared" si="2"/>
        <v>0</v>
      </c>
    </row>
    <row r="22" spans="1:11" ht="12" customHeight="1">
      <c r="A22" s="52" t="s">
        <v>82</v>
      </c>
      <c r="B22" s="53" t="s">
        <v>81</v>
      </c>
      <c r="C22" s="54">
        <v>21521000</v>
      </c>
      <c r="D22" s="54">
        <v>12936800</v>
      </c>
      <c r="E22" s="54">
        <v>21521</v>
      </c>
      <c r="F22" s="54">
        <v>12936.8</v>
      </c>
      <c r="G22" s="54" t="s">
        <v>82</v>
      </c>
      <c r="H22" t="b">
        <f t="shared" si="0"/>
        <v>1</v>
      </c>
      <c r="I22" s="60">
        <f t="shared" si="1"/>
        <v>0</v>
      </c>
      <c r="J22" s="60">
        <f t="shared" si="2"/>
        <v>0</v>
      </c>
    </row>
    <row r="23" spans="1:11" ht="12" customHeight="1">
      <c r="A23" s="52" t="s">
        <v>96</v>
      </c>
      <c r="B23" s="53" t="s">
        <v>95</v>
      </c>
      <c r="C23" s="54">
        <v>5500000</v>
      </c>
      <c r="D23" s="54">
        <v>4686478.53</v>
      </c>
      <c r="E23" s="54">
        <v>5500</v>
      </c>
      <c r="F23" s="54">
        <v>4686.5</v>
      </c>
      <c r="G23" s="54" t="s">
        <v>96</v>
      </c>
      <c r="H23" t="b">
        <f t="shared" si="0"/>
        <v>1</v>
      </c>
      <c r="I23" s="60">
        <f t="shared" si="1"/>
        <v>0</v>
      </c>
      <c r="J23" s="60">
        <f t="shared" si="2"/>
        <v>0</v>
      </c>
    </row>
    <row r="24" spans="1:11" ht="12" customHeight="1">
      <c r="A24" s="52" t="s">
        <v>102</v>
      </c>
      <c r="B24" s="53" t="s">
        <v>101</v>
      </c>
      <c r="C24" s="54">
        <v>2500000</v>
      </c>
      <c r="D24" s="54">
        <v>2149421.4700000002</v>
      </c>
      <c r="E24" s="54">
        <v>2500</v>
      </c>
      <c r="F24" s="54">
        <v>2149.4</v>
      </c>
      <c r="G24" s="54" t="s">
        <v>102</v>
      </c>
      <c r="H24" t="b">
        <f t="shared" si="0"/>
        <v>1</v>
      </c>
      <c r="I24" s="60">
        <f t="shared" si="1"/>
        <v>0</v>
      </c>
      <c r="J24" s="60">
        <f t="shared" si="2"/>
        <v>0</v>
      </c>
    </row>
    <row r="25" spans="1:11" ht="12" customHeight="1">
      <c r="A25" s="52" t="s">
        <v>33</v>
      </c>
      <c r="B25" s="53" t="s">
        <v>32</v>
      </c>
      <c r="C25" s="54">
        <v>1634400</v>
      </c>
      <c r="D25" s="54">
        <v>1625490.79</v>
      </c>
      <c r="E25" s="54">
        <v>1634.4</v>
      </c>
      <c r="F25" s="54">
        <v>1625.5</v>
      </c>
      <c r="G25" s="54" t="s">
        <v>33</v>
      </c>
      <c r="H25" t="b">
        <f t="shared" si="0"/>
        <v>1</v>
      </c>
      <c r="I25" s="60">
        <f t="shared" si="1"/>
        <v>0</v>
      </c>
      <c r="J25" s="60">
        <f t="shared" si="2"/>
        <v>0</v>
      </c>
    </row>
    <row r="26" spans="1:11" ht="12" customHeight="1">
      <c r="A26" s="52" t="s">
        <v>74</v>
      </c>
      <c r="B26" s="53" t="s">
        <v>73</v>
      </c>
      <c r="C26" s="54">
        <v>3700000</v>
      </c>
      <c r="D26" s="54">
        <v>3519623.48</v>
      </c>
      <c r="E26" s="54">
        <v>3700</v>
      </c>
      <c r="F26" s="54">
        <v>3519.6</v>
      </c>
      <c r="G26" s="54" t="s">
        <v>74</v>
      </c>
      <c r="H26" t="b">
        <f t="shared" si="0"/>
        <v>1</v>
      </c>
      <c r="I26" s="60">
        <f t="shared" si="1"/>
        <v>0</v>
      </c>
      <c r="J26" s="60">
        <f t="shared" si="2"/>
        <v>0</v>
      </c>
    </row>
    <row r="27" spans="1:11" ht="12" customHeight="1">
      <c r="A27" s="52" t="s">
        <v>84</v>
      </c>
      <c r="B27" s="53" t="s">
        <v>83</v>
      </c>
      <c r="C27" s="54">
        <v>150000000</v>
      </c>
      <c r="D27" s="54">
        <v>150000000</v>
      </c>
      <c r="E27" s="54">
        <v>150000</v>
      </c>
      <c r="F27" s="54">
        <v>150000</v>
      </c>
      <c r="G27" s="54" t="s">
        <v>84</v>
      </c>
      <c r="H27" t="b">
        <f t="shared" si="0"/>
        <v>1</v>
      </c>
      <c r="I27" s="60">
        <f t="shared" si="1"/>
        <v>0</v>
      </c>
      <c r="J27" s="60">
        <f t="shared" si="2"/>
        <v>0</v>
      </c>
    </row>
    <row r="28" spans="1:11" ht="12" customHeight="1">
      <c r="A28" s="52" t="s">
        <v>88</v>
      </c>
      <c r="B28" s="53" t="s">
        <v>87</v>
      </c>
      <c r="C28" s="54">
        <v>102804800</v>
      </c>
      <c r="D28" s="54">
        <v>102804800</v>
      </c>
      <c r="E28" s="54">
        <v>102804.8</v>
      </c>
      <c r="F28" s="54">
        <v>102804.8</v>
      </c>
      <c r="G28" s="54" t="s">
        <v>88</v>
      </c>
      <c r="H28" t="b">
        <f t="shared" si="0"/>
        <v>1</v>
      </c>
      <c r="I28" s="60">
        <f t="shared" si="1"/>
        <v>0</v>
      </c>
      <c r="J28" s="60">
        <f t="shared" si="2"/>
        <v>0</v>
      </c>
    </row>
    <row r="29" spans="1:11" ht="12" customHeight="1">
      <c r="A29" s="52" t="s">
        <v>94</v>
      </c>
      <c r="B29" s="53" t="s">
        <v>93</v>
      </c>
      <c r="C29" s="54">
        <v>74552500</v>
      </c>
      <c r="D29" s="54">
        <v>6517000</v>
      </c>
      <c r="E29" s="54">
        <v>74552.5</v>
      </c>
      <c r="F29" s="54">
        <v>6517</v>
      </c>
      <c r="G29" s="54" t="s">
        <v>94</v>
      </c>
      <c r="H29" t="b">
        <f t="shared" si="0"/>
        <v>1</v>
      </c>
      <c r="I29" s="60">
        <f t="shared" si="1"/>
        <v>0</v>
      </c>
      <c r="J29" s="60">
        <f t="shared" si="2"/>
        <v>0</v>
      </c>
    </row>
    <row r="30" spans="1:11" ht="12" customHeight="1">
      <c r="A30" s="52" t="s">
        <v>112</v>
      </c>
      <c r="B30" s="55" t="s">
        <v>111</v>
      </c>
      <c r="C30" s="54">
        <v>223067600</v>
      </c>
      <c r="D30" s="54">
        <v>169746160</v>
      </c>
      <c r="E30" s="54">
        <v>223067.6</v>
      </c>
      <c r="F30" s="54">
        <v>169746.2</v>
      </c>
      <c r="G30" s="54" t="s">
        <v>112</v>
      </c>
      <c r="H30" t="b">
        <f t="shared" si="0"/>
        <v>1</v>
      </c>
      <c r="I30" s="60">
        <f t="shared" si="1"/>
        <v>0</v>
      </c>
      <c r="J30" s="60">
        <f t="shared" si="2"/>
        <v>0</v>
      </c>
    </row>
    <row r="31" spans="1:11" ht="12" customHeight="1">
      <c r="A31" s="52" t="s">
        <v>100</v>
      </c>
      <c r="B31" s="53" t="s">
        <v>99</v>
      </c>
      <c r="C31" s="54">
        <v>103704400</v>
      </c>
      <c r="D31" s="54">
        <v>39739899.280000001</v>
      </c>
      <c r="E31" s="54">
        <v>103704.4</v>
      </c>
      <c r="F31" s="54">
        <v>39739.9</v>
      </c>
      <c r="G31" s="54" t="s">
        <v>100</v>
      </c>
      <c r="H31" t="b">
        <f t="shared" si="0"/>
        <v>1</v>
      </c>
      <c r="I31" s="60">
        <f t="shared" si="1"/>
        <v>0</v>
      </c>
      <c r="J31" s="60">
        <f t="shared" si="2"/>
        <v>0</v>
      </c>
    </row>
    <row r="32" spans="1:11" ht="12" customHeight="1">
      <c r="A32" s="52" t="s">
        <v>90</v>
      </c>
      <c r="B32" s="53" t="s">
        <v>89</v>
      </c>
      <c r="C32" s="54">
        <v>1900000</v>
      </c>
      <c r="D32" s="54">
        <v>1520000</v>
      </c>
      <c r="E32" s="54">
        <v>1900</v>
      </c>
      <c r="F32" s="54">
        <v>1520</v>
      </c>
      <c r="G32" s="54" t="s">
        <v>90</v>
      </c>
      <c r="H32" t="b">
        <f t="shared" si="0"/>
        <v>1</v>
      </c>
      <c r="I32" s="60">
        <f t="shared" si="1"/>
        <v>0</v>
      </c>
      <c r="J32" s="60">
        <f t="shared" si="2"/>
        <v>0</v>
      </c>
      <c r="K32" s="54" t="s">
        <v>49</v>
      </c>
    </row>
    <row r="33" spans="1:11" ht="12" customHeight="1">
      <c r="A33" s="52" t="s">
        <v>114</v>
      </c>
      <c r="B33" s="53" t="s">
        <v>354</v>
      </c>
      <c r="C33" s="54">
        <v>385911200</v>
      </c>
      <c r="D33" s="54">
        <v>65986213.75</v>
      </c>
      <c r="E33" s="54">
        <v>385911.2</v>
      </c>
      <c r="F33" s="54">
        <v>65986.2</v>
      </c>
      <c r="G33" s="54" t="s">
        <v>114</v>
      </c>
      <c r="H33" t="b">
        <f t="shared" si="0"/>
        <v>1</v>
      </c>
      <c r="I33" s="60">
        <f t="shared" si="1"/>
        <v>0</v>
      </c>
      <c r="J33" s="60">
        <f t="shared" si="2"/>
        <v>0</v>
      </c>
      <c r="K33" s="54" t="s">
        <v>51</v>
      </c>
    </row>
    <row r="34" spans="1:11" ht="12" customHeight="1">
      <c r="A34" s="52" t="s">
        <v>106</v>
      </c>
      <c r="B34" s="53" t="s">
        <v>105</v>
      </c>
      <c r="C34" s="54">
        <v>130162000</v>
      </c>
      <c r="D34" s="54">
        <v>0</v>
      </c>
      <c r="E34" s="54">
        <v>130162</v>
      </c>
      <c r="F34" s="54">
        <v>0</v>
      </c>
      <c r="G34" s="54" t="s">
        <v>106</v>
      </c>
      <c r="H34" t="b">
        <f t="shared" si="0"/>
        <v>1</v>
      </c>
      <c r="I34" s="60">
        <f t="shared" si="1"/>
        <v>0</v>
      </c>
      <c r="J34" s="60">
        <f t="shared" si="2"/>
        <v>0</v>
      </c>
    </row>
    <row r="35" spans="1:11" ht="12" customHeight="1">
      <c r="A35" s="52" t="s">
        <v>108</v>
      </c>
      <c r="B35" s="53" t="s">
        <v>107</v>
      </c>
      <c r="C35" s="54">
        <v>8500000</v>
      </c>
      <c r="D35" s="54">
        <v>7000000</v>
      </c>
      <c r="E35" s="54">
        <v>8500</v>
      </c>
      <c r="F35" s="54">
        <v>7000</v>
      </c>
      <c r="G35" s="54" t="s">
        <v>108</v>
      </c>
      <c r="H35" t="b">
        <f t="shared" si="0"/>
        <v>1</v>
      </c>
      <c r="I35" s="60">
        <f t="shared" si="1"/>
        <v>0</v>
      </c>
      <c r="J35" s="60">
        <f t="shared" si="2"/>
        <v>0</v>
      </c>
    </row>
    <row r="36" spans="1:11" ht="12" customHeight="1">
      <c r="A36" s="52" t="s">
        <v>53</v>
      </c>
      <c r="B36" s="55" t="s">
        <v>52</v>
      </c>
      <c r="C36" s="54">
        <v>9000000</v>
      </c>
      <c r="D36" s="54">
        <v>9000000</v>
      </c>
      <c r="E36" s="54">
        <v>9000</v>
      </c>
      <c r="F36" s="54">
        <v>9000</v>
      </c>
      <c r="G36" s="54" t="s">
        <v>53</v>
      </c>
      <c r="H36" t="b">
        <f t="shared" si="0"/>
        <v>1</v>
      </c>
      <c r="I36" s="60">
        <f t="shared" si="1"/>
        <v>0</v>
      </c>
      <c r="J36" s="60">
        <f t="shared" si="2"/>
        <v>0</v>
      </c>
    </row>
    <row r="37" spans="1:11" ht="12" customHeight="1">
      <c r="A37" s="52" t="s">
        <v>57</v>
      </c>
      <c r="B37" s="53" t="s">
        <v>56</v>
      </c>
      <c r="C37" s="54">
        <v>62192400</v>
      </c>
      <c r="D37" s="54">
        <v>53030800</v>
      </c>
      <c r="E37" s="54">
        <v>62192.4</v>
      </c>
      <c r="F37" s="54">
        <v>53030.8</v>
      </c>
      <c r="G37" s="54" t="s">
        <v>57</v>
      </c>
      <c r="H37" t="b">
        <f t="shared" si="0"/>
        <v>1</v>
      </c>
      <c r="I37" s="60">
        <f t="shared" si="1"/>
        <v>0</v>
      </c>
      <c r="J37" s="60">
        <f t="shared" si="2"/>
        <v>0</v>
      </c>
    </row>
    <row r="38" spans="1:11" ht="12" customHeight="1">
      <c r="A38" s="52" t="s">
        <v>47</v>
      </c>
      <c r="B38" s="53" t="s">
        <v>45</v>
      </c>
      <c r="C38" s="54">
        <v>20369200</v>
      </c>
      <c r="D38" s="54">
        <v>0</v>
      </c>
      <c r="E38" s="54">
        <v>20369.2</v>
      </c>
      <c r="F38" s="54">
        <v>0</v>
      </c>
      <c r="G38" s="54" t="s">
        <v>47</v>
      </c>
      <c r="H38" t="b">
        <f t="shared" si="0"/>
        <v>1</v>
      </c>
      <c r="I38" s="60">
        <f t="shared" si="1"/>
        <v>0</v>
      </c>
      <c r="J38" s="60">
        <f t="shared" si="2"/>
        <v>0</v>
      </c>
    </row>
    <row r="39" spans="1:11" ht="12" customHeight="1">
      <c r="A39" s="52" t="s">
        <v>55</v>
      </c>
      <c r="B39" s="53" t="s">
        <v>355</v>
      </c>
      <c r="C39" s="54">
        <v>30000000</v>
      </c>
      <c r="D39" s="54">
        <v>28094600</v>
      </c>
      <c r="E39" s="54">
        <v>30000</v>
      </c>
      <c r="F39" s="54">
        <v>28094.6</v>
      </c>
      <c r="G39" s="54" t="s">
        <v>55</v>
      </c>
      <c r="H39" t="b">
        <f t="shared" si="0"/>
        <v>1</v>
      </c>
      <c r="I39" s="60">
        <f t="shared" si="1"/>
        <v>0</v>
      </c>
      <c r="J39" s="60">
        <f t="shared" si="2"/>
        <v>0</v>
      </c>
    </row>
    <row r="40" spans="1:11" ht="12" customHeight="1">
      <c r="A40" s="52" t="s">
        <v>325</v>
      </c>
      <c r="B40" s="53" t="s">
        <v>326</v>
      </c>
      <c r="C40" s="54">
        <v>79000000</v>
      </c>
      <c r="D40" s="54">
        <v>57138731.859999999</v>
      </c>
      <c r="E40" s="54">
        <v>79000</v>
      </c>
      <c r="F40" s="54">
        <v>57138.7</v>
      </c>
      <c r="G40" s="54" t="s">
        <v>325</v>
      </c>
      <c r="H40" t="b">
        <f t="shared" si="0"/>
        <v>1</v>
      </c>
      <c r="I40" s="60">
        <f t="shared" si="1"/>
        <v>0</v>
      </c>
      <c r="J40" s="60">
        <f t="shared" si="2"/>
        <v>0</v>
      </c>
    </row>
    <row r="41" spans="1:11" ht="12" customHeight="1">
      <c r="A41" s="52" t="s">
        <v>327</v>
      </c>
      <c r="B41" s="53" t="s">
        <v>328</v>
      </c>
      <c r="C41" s="54">
        <v>25122700</v>
      </c>
      <c r="D41" s="54">
        <v>8845679.0099999998</v>
      </c>
      <c r="E41" s="54">
        <v>25122.7</v>
      </c>
      <c r="F41" s="54">
        <v>8845.7000000000007</v>
      </c>
      <c r="G41" s="54" t="s">
        <v>327</v>
      </c>
      <c r="H41" t="b">
        <f t="shared" si="0"/>
        <v>1</v>
      </c>
      <c r="I41" s="60">
        <f t="shared" si="1"/>
        <v>0</v>
      </c>
      <c r="J41" s="60">
        <f t="shared" si="2"/>
        <v>0</v>
      </c>
    </row>
    <row r="42" spans="1:11" ht="12" customHeight="1">
      <c r="A42" s="52" t="s">
        <v>181</v>
      </c>
      <c r="B42" s="53" t="s">
        <v>180</v>
      </c>
      <c r="C42" s="54">
        <v>5000000</v>
      </c>
      <c r="D42" s="54">
        <v>5000000</v>
      </c>
      <c r="E42" s="54">
        <v>5000</v>
      </c>
      <c r="F42" s="54">
        <v>5000</v>
      </c>
      <c r="G42" s="54" t="s">
        <v>181</v>
      </c>
      <c r="H42" t="b">
        <f t="shared" si="0"/>
        <v>1</v>
      </c>
      <c r="I42" s="60">
        <f t="shared" si="1"/>
        <v>0</v>
      </c>
      <c r="J42" s="60">
        <f t="shared" si="2"/>
        <v>0</v>
      </c>
    </row>
    <row r="43" spans="1:11" ht="12" customHeight="1">
      <c r="A43" s="52" t="s">
        <v>329</v>
      </c>
      <c r="B43" s="53" t="s">
        <v>330</v>
      </c>
      <c r="C43" s="54">
        <v>244898</v>
      </c>
      <c r="D43" s="54">
        <v>0</v>
      </c>
      <c r="E43" s="54">
        <v>244.9</v>
      </c>
      <c r="F43" s="54">
        <v>0</v>
      </c>
      <c r="G43" s="54" t="s">
        <v>329</v>
      </c>
      <c r="H43" t="b">
        <f t="shared" si="0"/>
        <v>1</v>
      </c>
      <c r="I43" s="60">
        <f t="shared" si="1"/>
        <v>0</v>
      </c>
      <c r="J43" s="60">
        <f t="shared" si="2"/>
        <v>0</v>
      </c>
    </row>
    <row r="44" spans="1:11" ht="12" customHeight="1">
      <c r="A44" s="52" t="s">
        <v>331</v>
      </c>
      <c r="B44" s="53" t="s">
        <v>332</v>
      </c>
      <c r="C44" s="54">
        <v>61225</v>
      </c>
      <c r="D44" s="54">
        <v>0</v>
      </c>
      <c r="E44" s="54">
        <v>61.2</v>
      </c>
      <c r="F44" s="54">
        <v>0</v>
      </c>
      <c r="G44" s="54" t="s">
        <v>331</v>
      </c>
      <c r="H44" t="b">
        <f t="shared" si="0"/>
        <v>1</v>
      </c>
      <c r="I44" s="60">
        <f t="shared" si="1"/>
        <v>0</v>
      </c>
      <c r="J44" s="60">
        <f t="shared" si="2"/>
        <v>0</v>
      </c>
    </row>
    <row r="45" spans="1:11" ht="12" customHeight="1">
      <c r="A45" s="52" t="s">
        <v>123</v>
      </c>
      <c r="B45" s="53" t="s">
        <v>121</v>
      </c>
      <c r="C45" s="54">
        <v>46409300</v>
      </c>
      <c r="D45" s="54">
        <v>12068642.77</v>
      </c>
      <c r="E45" s="54">
        <v>46409.3</v>
      </c>
      <c r="F45" s="59">
        <v>12068.6</v>
      </c>
      <c r="G45" s="54" t="s">
        <v>123</v>
      </c>
      <c r="H45" t="b">
        <f t="shared" si="0"/>
        <v>1</v>
      </c>
      <c r="I45" s="60">
        <f t="shared" si="1"/>
        <v>0</v>
      </c>
      <c r="J45" s="60">
        <f t="shared" si="2"/>
        <v>0</v>
      </c>
      <c r="K45" s="60">
        <f>D45/1000</f>
        <v>12068.6</v>
      </c>
    </row>
    <row r="46" spans="1:11" ht="12" customHeight="1">
      <c r="A46" s="52" t="s">
        <v>146</v>
      </c>
      <c r="B46" s="53" t="s">
        <v>145</v>
      </c>
      <c r="C46" s="54">
        <v>30000000</v>
      </c>
      <c r="D46" s="54">
        <v>13632130.699999999</v>
      </c>
      <c r="E46" s="54">
        <v>30000</v>
      </c>
      <c r="F46" s="54">
        <v>13632.1</v>
      </c>
      <c r="G46" s="54" t="s">
        <v>146</v>
      </c>
      <c r="H46" t="b">
        <f t="shared" si="0"/>
        <v>1</v>
      </c>
      <c r="I46" s="60">
        <f t="shared" si="1"/>
        <v>0</v>
      </c>
      <c r="J46" s="60">
        <f t="shared" si="2"/>
        <v>0</v>
      </c>
    </row>
    <row r="47" spans="1:11" ht="12" customHeight="1">
      <c r="A47" s="52" t="s">
        <v>148</v>
      </c>
      <c r="B47" s="53" t="s">
        <v>147</v>
      </c>
      <c r="C47" s="54">
        <v>35464500</v>
      </c>
      <c r="D47" s="54">
        <v>26224565.469999999</v>
      </c>
      <c r="E47" s="54">
        <v>35464.5</v>
      </c>
      <c r="F47" s="54">
        <v>26224.6</v>
      </c>
      <c r="G47" s="54" t="s">
        <v>148</v>
      </c>
      <c r="H47" t="b">
        <f t="shared" si="0"/>
        <v>1</v>
      </c>
      <c r="I47" s="60">
        <f t="shared" si="1"/>
        <v>0</v>
      </c>
      <c r="J47" s="60">
        <f t="shared" si="2"/>
        <v>0</v>
      </c>
    </row>
    <row r="48" spans="1:11" ht="12" customHeight="1">
      <c r="A48" s="52" t="s">
        <v>150</v>
      </c>
      <c r="B48" s="53" t="s">
        <v>149</v>
      </c>
      <c r="C48" s="54">
        <v>10720000</v>
      </c>
      <c r="D48" s="54">
        <v>7260200</v>
      </c>
      <c r="E48" s="54">
        <v>10720</v>
      </c>
      <c r="F48" s="54">
        <v>7260.2</v>
      </c>
      <c r="G48" s="54" t="s">
        <v>150</v>
      </c>
      <c r="H48" t="b">
        <f t="shared" si="0"/>
        <v>1</v>
      </c>
      <c r="I48" s="60">
        <f t="shared" si="1"/>
        <v>0</v>
      </c>
      <c r="J48" s="60">
        <f t="shared" si="2"/>
        <v>0</v>
      </c>
    </row>
    <row r="49" spans="1:11" ht="12" customHeight="1">
      <c r="A49" s="52" t="s">
        <v>152</v>
      </c>
      <c r="B49" s="53" t="s">
        <v>356</v>
      </c>
      <c r="C49" s="54">
        <v>5020500</v>
      </c>
      <c r="D49" s="54">
        <v>5015100</v>
      </c>
      <c r="E49" s="54">
        <v>5020.5</v>
      </c>
      <c r="F49" s="54">
        <v>5015.1000000000004</v>
      </c>
      <c r="G49" s="54" t="s">
        <v>152</v>
      </c>
      <c r="H49" t="b">
        <f t="shared" si="0"/>
        <v>1</v>
      </c>
      <c r="I49" s="60">
        <f t="shared" si="1"/>
        <v>0</v>
      </c>
      <c r="J49" s="60">
        <f t="shared" si="2"/>
        <v>0</v>
      </c>
    </row>
    <row r="50" spans="1:11" ht="12" customHeight="1">
      <c r="A50" s="52" t="s">
        <v>134</v>
      </c>
      <c r="B50" s="53" t="s">
        <v>133</v>
      </c>
      <c r="C50" s="54">
        <v>27001700</v>
      </c>
      <c r="D50" s="54">
        <v>470640</v>
      </c>
      <c r="E50" s="54">
        <v>27001.7</v>
      </c>
      <c r="F50" s="54">
        <v>470.6</v>
      </c>
      <c r="G50" s="54" t="s">
        <v>134</v>
      </c>
      <c r="H50" t="b">
        <f t="shared" si="0"/>
        <v>1</v>
      </c>
      <c r="I50" s="60">
        <f t="shared" si="1"/>
        <v>0</v>
      </c>
      <c r="J50" s="60">
        <f t="shared" si="2"/>
        <v>0</v>
      </c>
    </row>
    <row r="51" spans="1:11" ht="12" customHeight="1">
      <c r="A51" s="52" t="s">
        <v>138</v>
      </c>
      <c r="B51" s="53" t="s">
        <v>137</v>
      </c>
      <c r="C51" s="54">
        <v>6249900</v>
      </c>
      <c r="D51" s="54">
        <v>5729100</v>
      </c>
      <c r="E51" s="54">
        <v>6249.9</v>
      </c>
      <c r="F51" s="54">
        <v>5729.1</v>
      </c>
      <c r="G51" s="54" t="s">
        <v>138</v>
      </c>
      <c r="H51" t="b">
        <f t="shared" si="0"/>
        <v>1</v>
      </c>
      <c r="I51" s="60">
        <f t="shared" si="1"/>
        <v>0</v>
      </c>
      <c r="J51" s="60">
        <f t="shared" si="2"/>
        <v>0</v>
      </c>
    </row>
    <row r="52" spans="1:11" ht="12" customHeight="1">
      <c r="A52" s="52" t="s">
        <v>175</v>
      </c>
      <c r="B52" s="53" t="s">
        <v>174</v>
      </c>
      <c r="C52" s="54">
        <v>1066000</v>
      </c>
      <c r="D52" s="54">
        <v>701375.16</v>
      </c>
      <c r="E52" s="54">
        <v>1066</v>
      </c>
      <c r="F52" s="54">
        <v>701.4</v>
      </c>
      <c r="G52" s="54" t="s">
        <v>175</v>
      </c>
      <c r="H52" t="b">
        <f t="shared" si="0"/>
        <v>1</v>
      </c>
      <c r="I52" s="60">
        <f t="shared" si="1"/>
        <v>0</v>
      </c>
      <c r="J52" s="60">
        <f t="shared" si="2"/>
        <v>0</v>
      </c>
    </row>
    <row r="53" spans="1:11" ht="12" customHeight="1">
      <c r="A53" s="52" t="s">
        <v>144</v>
      </c>
      <c r="B53" s="53" t="s">
        <v>143</v>
      </c>
      <c r="C53" s="54">
        <v>13231400</v>
      </c>
      <c r="D53" s="54">
        <v>5983749.0599999996</v>
      </c>
      <c r="E53" s="54">
        <v>13231.4</v>
      </c>
      <c r="F53" s="59">
        <v>5983.7</v>
      </c>
      <c r="G53" s="54" t="s">
        <v>144</v>
      </c>
      <c r="H53" t="b">
        <f t="shared" si="0"/>
        <v>1</v>
      </c>
      <c r="I53" s="60">
        <f t="shared" si="1"/>
        <v>0</v>
      </c>
      <c r="J53" s="60">
        <f t="shared" si="2"/>
        <v>0</v>
      </c>
      <c r="K53" s="60">
        <f>D53/1000</f>
        <v>5983.7</v>
      </c>
    </row>
    <row r="54" spans="1:11" ht="12" customHeight="1">
      <c r="A54" s="52" t="s">
        <v>61</v>
      </c>
      <c r="B54" s="53" t="s">
        <v>60</v>
      </c>
      <c r="C54" s="54">
        <v>413107900</v>
      </c>
      <c r="D54" s="54">
        <v>0</v>
      </c>
      <c r="E54" s="54">
        <v>413107.9</v>
      </c>
      <c r="F54" s="54">
        <v>0</v>
      </c>
      <c r="G54" s="54" t="s">
        <v>61</v>
      </c>
      <c r="H54" t="b">
        <f t="shared" si="0"/>
        <v>1</v>
      </c>
      <c r="I54" s="60">
        <f t="shared" si="1"/>
        <v>0</v>
      </c>
      <c r="J54" s="60">
        <f t="shared" si="2"/>
        <v>0</v>
      </c>
    </row>
    <row r="55" spans="1:11" ht="12" customHeight="1">
      <c r="A55" s="52" t="s">
        <v>63</v>
      </c>
      <c r="B55" s="53" t="s">
        <v>62</v>
      </c>
      <c r="C55" s="54">
        <v>806364100</v>
      </c>
      <c r="D55" s="54">
        <v>0</v>
      </c>
      <c r="E55" s="54">
        <v>806364.1</v>
      </c>
      <c r="F55" s="54">
        <v>0</v>
      </c>
      <c r="G55" s="54" t="s">
        <v>63</v>
      </c>
      <c r="H55" t="b">
        <f t="shared" si="0"/>
        <v>1</v>
      </c>
      <c r="I55" s="60">
        <f t="shared" si="1"/>
        <v>0</v>
      </c>
      <c r="J55" s="60">
        <f t="shared" si="2"/>
        <v>0</v>
      </c>
    </row>
    <row r="56" spans="1:11" ht="12" customHeight="1">
      <c r="A56" s="52" t="s">
        <v>136</v>
      </c>
      <c r="B56" s="53" t="s">
        <v>133</v>
      </c>
      <c r="C56" s="54">
        <v>4432989.8099999996</v>
      </c>
      <c r="D56" s="54">
        <v>4432989.8099999996</v>
      </c>
      <c r="E56" s="54">
        <v>4433</v>
      </c>
      <c r="F56" s="54">
        <v>4433</v>
      </c>
      <c r="G56" s="54" t="s">
        <v>136</v>
      </c>
      <c r="H56" t="b">
        <f t="shared" si="0"/>
        <v>1</v>
      </c>
      <c r="I56" s="60">
        <f t="shared" si="1"/>
        <v>0</v>
      </c>
      <c r="J56" s="60">
        <f t="shared" si="2"/>
        <v>0</v>
      </c>
      <c r="K56" s="54" t="s">
        <v>156</v>
      </c>
    </row>
    <row r="57" spans="1:11" ht="12" customHeight="1">
      <c r="A57" s="52" t="s">
        <v>140</v>
      </c>
      <c r="B57" s="53" t="s">
        <v>139</v>
      </c>
      <c r="C57" s="54">
        <v>250000</v>
      </c>
      <c r="D57" s="54">
        <v>205000</v>
      </c>
      <c r="E57" s="54">
        <v>250</v>
      </c>
      <c r="F57" s="54">
        <v>205</v>
      </c>
      <c r="G57" s="54" t="s">
        <v>140</v>
      </c>
      <c r="H57" t="b">
        <f t="shared" si="0"/>
        <v>1</v>
      </c>
      <c r="I57" s="60">
        <f t="shared" si="1"/>
        <v>0</v>
      </c>
      <c r="J57" s="60">
        <f t="shared" si="2"/>
        <v>0</v>
      </c>
    </row>
    <row r="58" spans="1:11" ht="12" customHeight="1">
      <c r="A58" s="52" t="s">
        <v>158</v>
      </c>
      <c r="B58" s="53" t="s">
        <v>157</v>
      </c>
      <c r="C58" s="54">
        <v>55767630</v>
      </c>
      <c r="D58" s="54">
        <v>39712488.799999997</v>
      </c>
      <c r="E58" s="54">
        <v>55767.6</v>
      </c>
      <c r="F58" s="54">
        <v>39712.5</v>
      </c>
      <c r="G58" s="54" t="s">
        <v>158</v>
      </c>
      <c r="H58" t="b">
        <f t="shared" si="0"/>
        <v>1</v>
      </c>
      <c r="I58" s="60">
        <f t="shared" si="1"/>
        <v>0</v>
      </c>
      <c r="J58" s="60">
        <f t="shared" si="2"/>
        <v>0</v>
      </c>
      <c r="K58" s="54" t="s">
        <v>160</v>
      </c>
    </row>
    <row r="59" spans="1:11" ht="12" customHeight="1">
      <c r="A59" s="52" t="s">
        <v>163</v>
      </c>
      <c r="B59" s="53" t="s">
        <v>159</v>
      </c>
      <c r="C59" s="54">
        <v>8907100</v>
      </c>
      <c r="D59" s="54">
        <v>4876814.83</v>
      </c>
      <c r="E59" s="54">
        <v>8907.1</v>
      </c>
      <c r="F59" s="54">
        <v>4876.8</v>
      </c>
      <c r="G59" s="54" t="s">
        <v>163</v>
      </c>
      <c r="H59" t="b">
        <f t="shared" si="0"/>
        <v>1</v>
      </c>
      <c r="I59" s="60">
        <f t="shared" si="1"/>
        <v>0</v>
      </c>
      <c r="J59" s="60">
        <f t="shared" si="2"/>
        <v>0</v>
      </c>
    </row>
    <row r="60" spans="1:11" ht="12" customHeight="1">
      <c r="A60" s="52" t="s">
        <v>165</v>
      </c>
      <c r="B60" s="53" t="s">
        <v>164</v>
      </c>
      <c r="C60" s="54">
        <v>3840000</v>
      </c>
      <c r="D60" s="54">
        <v>3840000</v>
      </c>
      <c r="E60" s="54">
        <v>3840</v>
      </c>
      <c r="F60" s="54">
        <v>3840</v>
      </c>
      <c r="G60" s="54" t="s">
        <v>165</v>
      </c>
      <c r="H60" t="b">
        <f t="shared" si="0"/>
        <v>1</v>
      </c>
      <c r="I60" s="60">
        <f t="shared" si="1"/>
        <v>0</v>
      </c>
      <c r="J60" s="60">
        <f t="shared" si="2"/>
        <v>0</v>
      </c>
    </row>
    <row r="61" spans="1:11" ht="12" customHeight="1">
      <c r="A61" s="52" t="s">
        <v>167</v>
      </c>
      <c r="B61" s="53" t="s">
        <v>166</v>
      </c>
      <c r="C61" s="54">
        <v>280000</v>
      </c>
      <c r="D61" s="54">
        <v>0</v>
      </c>
      <c r="E61" s="54">
        <v>280</v>
      </c>
      <c r="F61" s="54">
        <v>0</v>
      </c>
      <c r="G61" s="54" t="s">
        <v>167</v>
      </c>
      <c r="H61" t="b">
        <f t="shared" si="0"/>
        <v>1</v>
      </c>
      <c r="I61" s="60">
        <f t="shared" si="1"/>
        <v>0</v>
      </c>
      <c r="J61" s="60">
        <f t="shared" si="2"/>
        <v>0</v>
      </c>
    </row>
    <row r="62" spans="1:11" ht="12" customHeight="1">
      <c r="A62" s="52" t="s">
        <v>169</v>
      </c>
      <c r="B62" s="53" t="s">
        <v>168</v>
      </c>
      <c r="C62" s="54">
        <v>4550000</v>
      </c>
      <c r="D62" s="54">
        <v>4053960.56</v>
      </c>
      <c r="E62" s="54">
        <v>4550</v>
      </c>
      <c r="F62" s="54">
        <v>4054</v>
      </c>
      <c r="G62" s="54" t="s">
        <v>169</v>
      </c>
      <c r="H62" t="b">
        <f t="shared" si="0"/>
        <v>1</v>
      </c>
      <c r="I62" s="60">
        <f t="shared" si="1"/>
        <v>0</v>
      </c>
      <c r="J62" s="60">
        <f t="shared" si="2"/>
        <v>0</v>
      </c>
    </row>
    <row r="63" spans="1:11" ht="12" customHeight="1">
      <c r="A63" s="52" t="s">
        <v>267</v>
      </c>
      <c r="B63" s="53" t="s">
        <v>344</v>
      </c>
      <c r="C63" s="54">
        <v>40000000</v>
      </c>
      <c r="D63" s="54">
        <v>35490761.890000001</v>
      </c>
      <c r="E63" s="54">
        <v>40000</v>
      </c>
      <c r="F63" s="54">
        <v>35490.800000000003</v>
      </c>
      <c r="G63" s="54" t="s">
        <v>267</v>
      </c>
      <c r="H63" t="b">
        <f t="shared" si="0"/>
        <v>1</v>
      </c>
      <c r="I63" s="60">
        <f t="shared" si="1"/>
        <v>0</v>
      </c>
      <c r="J63" s="60">
        <f t="shared" si="2"/>
        <v>0</v>
      </c>
    </row>
    <row r="64" spans="1:11" ht="12" customHeight="1">
      <c r="A64" s="52" t="s">
        <v>266</v>
      </c>
      <c r="B64" s="53" t="s">
        <v>357</v>
      </c>
      <c r="C64" s="54">
        <v>45731200</v>
      </c>
      <c r="D64" s="54">
        <v>15417020.779999999</v>
      </c>
      <c r="E64" s="54">
        <v>45731.199999999997</v>
      </c>
      <c r="F64" s="54">
        <v>15417</v>
      </c>
      <c r="G64" s="54" t="s">
        <v>266</v>
      </c>
      <c r="H64" t="b">
        <f t="shared" si="0"/>
        <v>1</v>
      </c>
      <c r="I64" s="60">
        <f t="shared" si="1"/>
        <v>0</v>
      </c>
      <c r="J64" s="60">
        <f t="shared" si="2"/>
        <v>0</v>
      </c>
    </row>
    <row r="65" spans="1:11" ht="12" customHeight="1">
      <c r="A65" s="52" t="s">
        <v>275</v>
      </c>
      <c r="B65" s="53" t="s">
        <v>274</v>
      </c>
      <c r="C65" s="54">
        <v>11658910</v>
      </c>
      <c r="D65" s="54">
        <v>11658907.67</v>
      </c>
      <c r="E65" s="54">
        <v>11658.9</v>
      </c>
      <c r="F65" s="54">
        <v>11658.9</v>
      </c>
      <c r="G65" s="54" t="s">
        <v>275</v>
      </c>
      <c r="H65" t="b">
        <f t="shared" si="0"/>
        <v>1</v>
      </c>
      <c r="I65" s="60">
        <f t="shared" si="1"/>
        <v>0</v>
      </c>
      <c r="J65" s="60">
        <f t="shared" si="2"/>
        <v>0</v>
      </c>
    </row>
    <row r="66" spans="1:11" ht="12" customHeight="1">
      <c r="A66" s="52" t="s">
        <v>277</v>
      </c>
      <c r="B66" s="53" t="s">
        <v>276</v>
      </c>
      <c r="C66" s="54">
        <v>26500000</v>
      </c>
      <c r="D66" s="54">
        <v>26078863.469999999</v>
      </c>
      <c r="E66" s="54">
        <v>26500</v>
      </c>
      <c r="F66" s="54">
        <v>26078.9</v>
      </c>
      <c r="G66" s="54" t="s">
        <v>277</v>
      </c>
      <c r="H66" t="b">
        <f t="shared" si="0"/>
        <v>1</v>
      </c>
      <c r="I66" s="60">
        <f t="shared" si="1"/>
        <v>0</v>
      </c>
      <c r="J66" s="60">
        <f t="shared" si="2"/>
        <v>0</v>
      </c>
    </row>
    <row r="67" spans="1:11" ht="12" customHeight="1">
      <c r="A67" s="52" t="s">
        <v>271</v>
      </c>
      <c r="B67" s="53" t="s">
        <v>358</v>
      </c>
      <c r="C67" s="54">
        <v>8540000</v>
      </c>
      <c r="D67" s="54">
        <v>8540000</v>
      </c>
      <c r="E67" s="54">
        <v>8540</v>
      </c>
      <c r="F67" s="54">
        <v>8540</v>
      </c>
      <c r="G67" s="54" t="s">
        <v>271</v>
      </c>
      <c r="H67" t="b">
        <f t="shared" si="0"/>
        <v>1</v>
      </c>
      <c r="I67" s="60">
        <f t="shared" si="1"/>
        <v>0</v>
      </c>
      <c r="J67" s="60">
        <f t="shared" si="2"/>
        <v>0</v>
      </c>
    </row>
    <row r="68" spans="1:11" ht="12" customHeight="1">
      <c r="A68" s="52" t="s">
        <v>68</v>
      </c>
      <c r="B68" s="53" t="s">
        <v>67</v>
      </c>
      <c r="C68" s="54">
        <v>369453900</v>
      </c>
      <c r="D68" s="54">
        <v>344145301.60000002</v>
      </c>
      <c r="E68" s="54">
        <v>369453.9</v>
      </c>
      <c r="F68" s="54">
        <v>344145.3</v>
      </c>
      <c r="G68" s="54" t="s">
        <v>68</v>
      </c>
      <c r="H68" t="b">
        <f t="shared" si="0"/>
        <v>1</v>
      </c>
      <c r="I68" s="60">
        <f t="shared" si="1"/>
        <v>0</v>
      </c>
      <c r="J68" s="60">
        <f t="shared" si="2"/>
        <v>0</v>
      </c>
      <c r="K68" s="54" t="s">
        <v>343</v>
      </c>
    </row>
    <row r="69" spans="1:11" ht="12" customHeight="1">
      <c r="A69" s="52" t="s">
        <v>70</v>
      </c>
      <c r="B69" s="53" t="s">
        <v>69</v>
      </c>
      <c r="C69" s="54">
        <v>776166800</v>
      </c>
      <c r="D69" s="54">
        <v>618884749.13</v>
      </c>
      <c r="E69" s="54">
        <v>776166.8</v>
      </c>
      <c r="F69" s="54">
        <v>618884.69999999995</v>
      </c>
      <c r="G69" s="54" t="s">
        <v>70</v>
      </c>
      <c r="H69" t="b">
        <f t="shared" ref="H69:H94" si="3">G69=A69</f>
        <v>1</v>
      </c>
      <c r="I69" s="60">
        <f t="shared" ref="I69:I94" si="4">C69/1000-E69</f>
        <v>0</v>
      </c>
      <c r="J69" s="60">
        <f t="shared" ref="J69:J94" si="5">D69/1000-F69</f>
        <v>0</v>
      </c>
    </row>
    <row r="70" spans="1:11" ht="12" customHeight="1">
      <c r="A70" s="52" t="s">
        <v>37</v>
      </c>
      <c r="B70" s="53" t="s">
        <v>35</v>
      </c>
      <c r="C70" s="54">
        <v>292352100</v>
      </c>
      <c r="D70" s="54">
        <v>118130830.86</v>
      </c>
      <c r="E70" s="54">
        <v>292352.09999999998</v>
      </c>
      <c r="F70" s="54">
        <v>118130.8</v>
      </c>
      <c r="G70" s="54" t="s">
        <v>37</v>
      </c>
      <c r="H70" t="b">
        <f t="shared" si="3"/>
        <v>1</v>
      </c>
      <c r="I70" s="60">
        <f t="shared" si="4"/>
        <v>0</v>
      </c>
      <c r="J70" s="60">
        <f t="shared" si="5"/>
        <v>0</v>
      </c>
    </row>
    <row r="71" spans="1:11" ht="12" customHeight="1">
      <c r="A71" s="52" t="s">
        <v>40</v>
      </c>
      <c r="B71" s="53" t="s">
        <v>38</v>
      </c>
      <c r="C71" s="54">
        <v>22669200</v>
      </c>
      <c r="D71" s="54">
        <v>21410307.579999998</v>
      </c>
      <c r="E71" s="54">
        <v>22669.200000000001</v>
      </c>
      <c r="F71" s="54">
        <v>21410.3</v>
      </c>
      <c r="G71" s="54" t="s">
        <v>40</v>
      </c>
      <c r="H71" t="b">
        <f t="shared" si="3"/>
        <v>1</v>
      </c>
      <c r="I71" s="60">
        <f t="shared" si="4"/>
        <v>0</v>
      </c>
      <c r="J71" s="60">
        <f t="shared" si="5"/>
        <v>0</v>
      </c>
    </row>
    <row r="72" spans="1:11" ht="12" customHeight="1">
      <c r="A72" s="52" t="s">
        <v>334</v>
      </c>
      <c r="B72" s="53" t="s">
        <v>333</v>
      </c>
      <c r="C72" s="54">
        <v>3539600</v>
      </c>
      <c r="D72" s="54">
        <v>627361.43000000005</v>
      </c>
      <c r="E72" s="54">
        <v>3539.6</v>
      </c>
      <c r="F72" s="54">
        <v>627.4</v>
      </c>
      <c r="G72" s="54" t="s">
        <v>334</v>
      </c>
      <c r="H72" t="b">
        <f t="shared" si="3"/>
        <v>1</v>
      </c>
      <c r="I72" s="60">
        <f t="shared" si="4"/>
        <v>0</v>
      </c>
      <c r="J72" s="60">
        <f t="shared" si="5"/>
        <v>0</v>
      </c>
      <c r="K72" s="54" t="s">
        <v>195</v>
      </c>
    </row>
    <row r="73" spans="1:11" ht="12" customHeight="1">
      <c r="A73" s="52" t="s">
        <v>337</v>
      </c>
      <c r="B73" s="53" t="s">
        <v>336</v>
      </c>
      <c r="C73" s="54">
        <v>507753200</v>
      </c>
      <c r="D73" s="59">
        <v>22134449.379999999</v>
      </c>
      <c r="E73" s="54">
        <v>507753.2</v>
      </c>
      <c r="F73" s="59">
        <v>22134.400000000001</v>
      </c>
      <c r="G73" s="54" t="s">
        <v>337</v>
      </c>
      <c r="H73" t="b">
        <f t="shared" si="3"/>
        <v>1</v>
      </c>
      <c r="I73" s="60">
        <f t="shared" si="4"/>
        <v>0</v>
      </c>
      <c r="J73" s="60">
        <f t="shared" si="5"/>
        <v>0</v>
      </c>
      <c r="K73" s="60">
        <f>D73/1000</f>
        <v>22134.400000000001</v>
      </c>
    </row>
    <row r="74" spans="1:11" ht="12" customHeight="1">
      <c r="A74" s="52" t="s">
        <v>339</v>
      </c>
      <c r="B74" s="53" t="s">
        <v>338</v>
      </c>
      <c r="C74" s="54">
        <v>15703707.220000001</v>
      </c>
      <c r="D74" s="54">
        <v>684570.6</v>
      </c>
      <c r="E74" s="54">
        <v>15703.7</v>
      </c>
      <c r="F74" s="54">
        <v>684.6</v>
      </c>
      <c r="G74" s="54" t="s">
        <v>339</v>
      </c>
      <c r="H74" t="b">
        <f t="shared" si="3"/>
        <v>1</v>
      </c>
      <c r="I74" s="60">
        <f t="shared" si="4"/>
        <v>0</v>
      </c>
      <c r="J74" s="60">
        <f t="shared" si="5"/>
        <v>0</v>
      </c>
    </row>
    <row r="75" spans="1:11" ht="12" customHeight="1">
      <c r="A75" s="52" t="s">
        <v>248</v>
      </c>
      <c r="B75" s="53" t="s">
        <v>246</v>
      </c>
      <c r="C75" s="54">
        <v>10000000</v>
      </c>
      <c r="D75" s="54">
        <v>0</v>
      </c>
      <c r="E75" s="54">
        <v>10000</v>
      </c>
      <c r="F75" s="54">
        <v>0</v>
      </c>
      <c r="G75" s="54" t="s">
        <v>248</v>
      </c>
      <c r="H75" t="b">
        <f t="shared" si="3"/>
        <v>1</v>
      </c>
      <c r="I75" s="60">
        <f t="shared" si="4"/>
        <v>0</v>
      </c>
      <c r="J75" s="60">
        <f t="shared" si="5"/>
        <v>0</v>
      </c>
    </row>
    <row r="76" spans="1:11" ht="12" customHeight="1">
      <c r="A76" s="52" t="s">
        <v>252</v>
      </c>
      <c r="B76" s="53" t="s">
        <v>251</v>
      </c>
      <c r="C76" s="54">
        <v>9750000</v>
      </c>
      <c r="D76" s="54">
        <v>0</v>
      </c>
      <c r="E76" s="54">
        <v>9750</v>
      </c>
      <c r="F76" s="54">
        <v>0</v>
      </c>
      <c r="G76" s="54" t="s">
        <v>252</v>
      </c>
      <c r="H76" t="b">
        <f t="shared" si="3"/>
        <v>1</v>
      </c>
      <c r="I76" s="60">
        <f t="shared" si="4"/>
        <v>0</v>
      </c>
      <c r="J76" s="60">
        <f t="shared" si="5"/>
        <v>0</v>
      </c>
      <c r="K76" s="54" t="s">
        <v>203</v>
      </c>
    </row>
    <row r="77" spans="1:11" ht="12" customHeight="1">
      <c r="A77" s="52" t="s">
        <v>359</v>
      </c>
      <c r="B77" s="53" t="s">
        <v>232</v>
      </c>
      <c r="C77" s="54">
        <v>4566200</v>
      </c>
      <c r="D77" s="54">
        <v>4566200</v>
      </c>
      <c r="E77" s="54">
        <v>4566.2</v>
      </c>
      <c r="F77" s="54">
        <v>4566.2</v>
      </c>
      <c r="G77" s="54" t="s">
        <v>234</v>
      </c>
      <c r="H77" t="b">
        <f t="shared" si="3"/>
        <v>0</v>
      </c>
      <c r="I77" s="60">
        <f t="shared" si="4"/>
        <v>0</v>
      </c>
      <c r="J77" s="60">
        <f t="shared" si="5"/>
        <v>0</v>
      </c>
    </row>
    <row r="78" spans="1:11" ht="12" customHeight="1">
      <c r="A78" s="52" t="s">
        <v>360</v>
      </c>
      <c r="B78" s="53" t="s">
        <v>235</v>
      </c>
      <c r="C78" s="54">
        <v>11182200</v>
      </c>
      <c r="D78" s="54">
        <v>5589169.6500000004</v>
      </c>
      <c r="E78" s="54">
        <v>11182.2</v>
      </c>
      <c r="F78" s="54">
        <v>5589.2</v>
      </c>
      <c r="G78" s="54" t="s">
        <v>236</v>
      </c>
      <c r="H78" t="b">
        <f t="shared" si="3"/>
        <v>0</v>
      </c>
      <c r="I78" s="60">
        <f t="shared" si="4"/>
        <v>0</v>
      </c>
      <c r="J78" s="60">
        <f t="shared" si="5"/>
        <v>0</v>
      </c>
    </row>
    <row r="79" spans="1:11" ht="12" customHeight="1">
      <c r="A79" s="52" t="s">
        <v>361</v>
      </c>
      <c r="B79" s="53" t="s">
        <v>237</v>
      </c>
      <c r="C79" s="54">
        <v>81458900</v>
      </c>
      <c r="D79" s="54">
        <v>49086973.18</v>
      </c>
      <c r="E79" s="54">
        <v>81458.899999999994</v>
      </c>
      <c r="F79" s="54">
        <v>49087</v>
      </c>
      <c r="G79" s="54" t="s">
        <v>238</v>
      </c>
      <c r="H79" t="b">
        <f t="shared" si="3"/>
        <v>0</v>
      </c>
      <c r="I79" s="60">
        <f t="shared" si="4"/>
        <v>0</v>
      </c>
      <c r="J79" s="60">
        <f t="shared" si="5"/>
        <v>0</v>
      </c>
    </row>
    <row r="80" spans="1:11" ht="12" customHeight="1">
      <c r="A80" s="52" t="s">
        <v>209</v>
      </c>
      <c r="B80" s="53" t="s">
        <v>208</v>
      </c>
      <c r="C80" s="54">
        <v>18003900</v>
      </c>
      <c r="D80" s="54">
        <v>10304077.52</v>
      </c>
      <c r="E80" s="54">
        <v>18003.900000000001</v>
      </c>
      <c r="F80" s="54">
        <v>10304.1</v>
      </c>
      <c r="G80" s="54" t="s">
        <v>209</v>
      </c>
      <c r="H80" t="b">
        <f t="shared" si="3"/>
        <v>1</v>
      </c>
      <c r="I80" s="60">
        <f t="shared" si="4"/>
        <v>0</v>
      </c>
      <c r="J80" s="60">
        <f t="shared" si="5"/>
        <v>0</v>
      </c>
    </row>
    <row r="81" spans="1:11" ht="12" customHeight="1">
      <c r="A81" s="52" t="s">
        <v>259</v>
      </c>
      <c r="B81" s="53" t="s">
        <v>257</v>
      </c>
      <c r="C81" s="54">
        <v>2291568700</v>
      </c>
      <c r="D81" s="54">
        <v>2288295759.3499999</v>
      </c>
      <c r="E81" s="54">
        <v>2291568.7000000002</v>
      </c>
      <c r="F81" s="54">
        <v>2288295.7999999998</v>
      </c>
      <c r="G81" s="54" t="s">
        <v>259</v>
      </c>
      <c r="H81" t="b">
        <f t="shared" si="3"/>
        <v>1</v>
      </c>
      <c r="I81" s="60">
        <f t="shared" si="4"/>
        <v>0</v>
      </c>
      <c r="J81" s="60">
        <f t="shared" si="5"/>
        <v>0</v>
      </c>
      <c r="K81" s="54" t="s">
        <v>221</v>
      </c>
    </row>
    <row r="82" spans="1:11" ht="12" customHeight="1">
      <c r="A82" s="52" t="s">
        <v>243</v>
      </c>
      <c r="B82" s="53" t="s">
        <v>241</v>
      </c>
      <c r="C82" s="54">
        <v>46603700</v>
      </c>
      <c r="D82" s="54">
        <v>4047716.07</v>
      </c>
      <c r="E82" s="54">
        <v>46603.7</v>
      </c>
      <c r="F82" s="54">
        <v>4047.7</v>
      </c>
      <c r="G82" s="54" t="s">
        <v>243</v>
      </c>
      <c r="H82" t="b">
        <f t="shared" si="3"/>
        <v>1</v>
      </c>
      <c r="I82" s="60">
        <f t="shared" si="4"/>
        <v>0</v>
      </c>
      <c r="J82" s="60">
        <f t="shared" si="5"/>
        <v>0</v>
      </c>
      <c r="K82" s="54" t="s">
        <v>223</v>
      </c>
    </row>
    <row r="83" spans="1:11" ht="12" customHeight="1">
      <c r="A83" s="52" t="s">
        <v>191</v>
      </c>
      <c r="B83" s="53" t="s">
        <v>362</v>
      </c>
      <c r="C83" s="54">
        <v>1300000</v>
      </c>
      <c r="D83" s="54">
        <v>1282458.98</v>
      </c>
      <c r="E83" s="54">
        <v>1300</v>
      </c>
      <c r="F83" s="54">
        <v>1282.5</v>
      </c>
      <c r="G83" s="54" t="s">
        <v>191</v>
      </c>
      <c r="H83" t="b">
        <f t="shared" si="3"/>
        <v>1</v>
      </c>
      <c r="I83" s="60">
        <f t="shared" si="4"/>
        <v>0</v>
      </c>
      <c r="J83" s="60">
        <f t="shared" si="5"/>
        <v>0</v>
      </c>
      <c r="K83" s="54" t="s">
        <v>225</v>
      </c>
    </row>
    <row r="84" spans="1:11" ht="12" customHeight="1">
      <c r="A84" s="52" t="s">
        <v>340</v>
      </c>
      <c r="B84" s="53" t="s">
        <v>341</v>
      </c>
      <c r="C84" s="54">
        <v>3440000</v>
      </c>
      <c r="D84" s="54">
        <v>0</v>
      </c>
      <c r="E84" s="54">
        <v>3440</v>
      </c>
      <c r="F84" s="54">
        <v>0</v>
      </c>
      <c r="G84" s="54" t="s">
        <v>340</v>
      </c>
      <c r="H84" t="b">
        <f t="shared" si="3"/>
        <v>1</v>
      </c>
      <c r="I84" s="60">
        <f t="shared" si="4"/>
        <v>0</v>
      </c>
      <c r="J84" s="60">
        <f t="shared" si="5"/>
        <v>0</v>
      </c>
      <c r="K84" s="54" t="s">
        <v>227</v>
      </c>
    </row>
    <row r="85" spans="1:11" ht="12" customHeight="1">
      <c r="A85" s="52" t="s">
        <v>197</v>
      </c>
      <c r="B85" s="53" t="s">
        <v>196</v>
      </c>
      <c r="C85" s="54">
        <v>9540460</v>
      </c>
      <c r="D85" s="54">
        <v>5443982.2000000002</v>
      </c>
      <c r="E85" s="54">
        <v>9540.5</v>
      </c>
      <c r="F85" s="54">
        <v>5444</v>
      </c>
      <c r="G85" s="54" t="s">
        <v>197</v>
      </c>
      <c r="H85" t="b">
        <f t="shared" si="3"/>
        <v>1</v>
      </c>
      <c r="I85" s="60">
        <f t="shared" si="4"/>
        <v>0</v>
      </c>
      <c r="J85" s="60">
        <f t="shared" si="5"/>
        <v>0</v>
      </c>
    </row>
    <row r="86" spans="1:11" ht="12" customHeight="1">
      <c r="A86" s="52" t="s">
        <v>205</v>
      </c>
      <c r="B86" s="55" t="s">
        <v>363</v>
      </c>
      <c r="C86" s="54">
        <v>3896123.33</v>
      </c>
      <c r="D86" s="54">
        <v>3291780</v>
      </c>
      <c r="E86" s="54">
        <v>3896.1</v>
      </c>
      <c r="F86" s="54">
        <v>3291.8</v>
      </c>
      <c r="G86" s="54" t="s">
        <v>205</v>
      </c>
      <c r="H86" t="b">
        <f t="shared" si="3"/>
        <v>1</v>
      </c>
      <c r="I86" s="60">
        <f t="shared" si="4"/>
        <v>0</v>
      </c>
      <c r="J86" s="60">
        <f t="shared" si="5"/>
        <v>0</v>
      </c>
    </row>
    <row r="87" spans="1:11" ht="12" customHeight="1">
      <c r="A87" s="52" t="s">
        <v>201</v>
      </c>
      <c r="B87" s="55" t="s">
        <v>200</v>
      </c>
      <c r="C87" s="54">
        <v>4165550</v>
      </c>
      <c r="D87" s="54">
        <v>0</v>
      </c>
      <c r="E87" s="54">
        <v>4165.6000000000004</v>
      </c>
      <c r="F87" s="54">
        <v>0</v>
      </c>
      <c r="G87" s="54" t="s">
        <v>201</v>
      </c>
      <c r="H87" t="b">
        <f t="shared" si="3"/>
        <v>1</v>
      </c>
      <c r="I87" s="60">
        <f t="shared" si="4"/>
        <v>-0.1</v>
      </c>
      <c r="J87" s="60">
        <f t="shared" si="5"/>
        <v>0</v>
      </c>
      <c r="K87" s="60"/>
    </row>
    <row r="88" spans="1:11" ht="12" customHeight="1">
      <c r="A88" s="52" t="s">
        <v>199</v>
      </c>
      <c r="B88" s="53" t="s">
        <v>364</v>
      </c>
      <c r="C88" s="54">
        <v>11140000</v>
      </c>
      <c r="D88" s="54">
        <v>7275000</v>
      </c>
      <c r="E88" s="54">
        <v>11140</v>
      </c>
      <c r="F88" s="54">
        <v>7275</v>
      </c>
      <c r="G88" s="54" t="s">
        <v>199</v>
      </c>
      <c r="H88" t="b">
        <f t="shared" si="3"/>
        <v>1</v>
      </c>
      <c r="I88" s="60">
        <f t="shared" si="4"/>
        <v>0</v>
      </c>
      <c r="J88" s="60">
        <f t="shared" si="5"/>
        <v>0</v>
      </c>
    </row>
    <row r="89" spans="1:11" ht="12" customHeight="1">
      <c r="A89" s="52" t="s">
        <v>125</v>
      </c>
      <c r="B89" s="53" t="s">
        <v>365</v>
      </c>
      <c r="C89" s="54">
        <v>107941340.20999999</v>
      </c>
      <c r="D89" s="54">
        <v>0</v>
      </c>
      <c r="E89" s="54">
        <v>99281.3</v>
      </c>
      <c r="F89" s="54">
        <v>0</v>
      </c>
      <c r="G89" s="54" t="s">
        <v>125</v>
      </c>
      <c r="H89" t="b">
        <f t="shared" si="3"/>
        <v>1</v>
      </c>
      <c r="I89" s="60">
        <f t="shared" si="4"/>
        <v>8660</v>
      </c>
      <c r="J89" s="60">
        <f t="shared" si="5"/>
        <v>0</v>
      </c>
    </row>
    <row r="90" spans="1:11" ht="12" customHeight="1">
      <c r="A90" s="52"/>
      <c r="B90" s="53"/>
      <c r="C90" s="54"/>
      <c r="D90" s="54"/>
      <c r="E90" s="54">
        <v>8660</v>
      </c>
      <c r="F90" s="54">
        <v>0</v>
      </c>
      <c r="G90" s="54" t="s">
        <v>125</v>
      </c>
      <c r="I90" s="60">
        <f t="shared" si="4"/>
        <v>-8660</v>
      </c>
      <c r="J90" s="60">
        <f t="shared" si="5"/>
        <v>0</v>
      </c>
    </row>
    <row r="91" spans="1:11" ht="12" customHeight="1">
      <c r="A91" s="52" t="s">
        <v>128</v>
      </c>
      <c r="B91" s="53" t="s">
        <v>342</v>
      </c>
      <c r="C91" s="54">
        <v>1081408700</v>
      </c>
      <c r="D91" s="54">
        <v>1081408700</v>
      </c>
      <c r="E91" s="54">
        <v>1081408.7</v>
      </c>
      <c r="F91" s="54">
        <v>1081408.7</v>
      </c>
      <c r="G91" s="54" t="s">
        <v>128</v>
      </c>
      <c r="H91" t="b">
        <f t="shared" si="3"/>
        <v>1</v>
      </c>
      <c r="I91" s="60">
        <f t="shared" si="4"/>
        <v>0</v>
      </c>
      <c r="J91" s="60">
        <f t="shared" si="5"/>
        <v>0</v>
      </c>
    </row>
    <row r="92" spans="1:11" ht="12" customHeight="1">
      <c r="A92" s="52" t="s">
        <v>130</v>
      </c>
      <c r="B92" s="53" t="s">
        <v>129</v>
      </c>
      <c r="C92" s="54">
        <v>37500000</v>
      </c>
      <c r="D92" s="54">
        <v>37500000</v>
      </c>
      <c r="E92" s="54">
        <v>37500</v>
      </c>
      <c r="F92" s="54">
        <v>37500</v>
      </c>
      <c r="G92" s="54" t="s">
        <v>130</v>
      </c>
      <c r="H92" t="b">
        <f t="shared" si="3"/>
        <v>1</v>
      </c>
      <c r="I92" s="60">
        <f t="shared" si="4"/>
        <v>0</v>
      </c>
      <c r="J92" s="60">
        <f t="shared" si="5"/>
        <v>0</v>
      </c>
    </row>
    <row r="93" spans="1:11" ht="12" customHeight="1">
      <c r="A93" s="52" t="s">
        <v>217</v>
      </c>
      <c r="B93" s="53" t="s">
        <v>216</v>
      </c>
      <c r="C93" s="54">
        <v>40000000</v>
      </c>
      <c r="D93" s="54">
        <v>0</v>
      </c>
      <c r="E93" s="54">
        <v>40000</v>
      </c>
      <c r="F93" s="54">
        <v>0</v>
      </c>
      <c r="G93" s="54" t="s">
        <v>217</v>
      </c>
      <c r="H93" t="b">
        <f t="shared" si="3"/>
        <v>1</v>
      </c>
      <c r="I93" s="60">
        <f t="shared" si="4"/>
        <v>0</v>
      </c>
      <c r="J93" s="60">
        <f t="shared" si="5"/>
        <v>0</v>
      </c>
    </row>
    <row r="94" spans="1:11" ht="12" customHeight="1">
      <c r="A94" s="52" t="s">
        <v>215</v>
      </c>
      <c r="B94" s="53" t="s">
        <v>214</v>
      </c>
      <c r="C94" s="54">
        <v>425468000</v>
      </c>
      <c r="D94" s="54">
        <v>204838021.18000001</v>
      </c>
      <c r="E94" s="54">
        <v>425468</v>
      </c>
      <c r="F94" s="54">
        <v>204838</v>
      </c>
      <c r="G94" s="54" t="s">
        <v>215</v>
      </c>
      <c r="H94" t="b">
        <f t="shared" si="3"/>
        <v>1</v>
      </c>
      <c r="I94" s="60">
        <f t="shared" si="4"/>
        <v>0</v>
      </c>
      <c r="J94" s="60">
        <f t="shared" si="5"/>
        <v>0</v>
      </c>
    </row>
    <row r="95" spans="1:11" ht="12" customHeight="1">
      <c r="A95" s="56" t="s">
        <v>366</v>
      </c>
      <c r="B95" s="57"/>
      <c r="C95" s="58">
        <v>9627882301.2099991</v>
      </c>
      <c r="D95" s="58">
        <v>6049771047.04</v>
      </c>
    </row>
    <row r="97" spans="3:11" ht="12" customHeight="1">
      <c r="C97">
        <v>9627882.3000000007</v>
      </c>
      <c r="D97">
        <v>6049771.0999999996</v>
      </c>
    </row>
    <row r="100" spans="3:11" ht="12" customHeight="1">
      <c r="C100" s="60">
        <f>C95/1000-C97</f>
        <v>0</v>
      </c>
      <c r="D100" s="60">
        <f>D95/1000-D97</f>
        <v>-0.1</v>
      </c>
    </row>
    <row r="107" spans="3:11" ht="12" customHeight="1">
      <c r="I107" s="54">
        <v>0</v>
      </c>
      <c r="J107" s="54">
        <v>0</v>
      </c>
      <c r="K107" s="54" t="s">
        <v>302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J127"/>
  <sheetViews>
    <sheetView topLeftCell="A100" workbookViewId="0">
      <selection activeCell="G128" sqref="G128"/>
    </sheetView>
  </sheetViews>
  <sheetFormatPr defaultRowHeight="10.9" customHeight="1"/>
  <cols>
    <col min="1" max="1" width="10.28515625" customWidth="1"/>
    <col min="2" max="2" width="30.7109375" customWidth="1"/>
    <col min="3" max="3" width="20.7109375" customWidth="1"/>
    <col min="4" max="4" width="30.7109375" customWidth="1"/>
    <col min="5" max="5" width="10.28515625" customWidth="1"/>
    <col min="6" max="7" width="15.42578125" customWidth="1"/>
    <col min="8" max="10" width="9.140625" customWidth="1"/>
    <col min="257" max="257" width="10.28515625" customWidth="1"/>
    <col min="258" max="258" width="30.7109375" customWidth="1"/>
    <col min="259" max="259" width="20.7109375" customWidth="1"/>
    <col min="260" max="260" width="30.7109375" customWidth="1"/>
    <col min="261" max="261" width="10.28515625" customWidth="1"/>
    <col min="262" max="263" width="15.42578125" customWidth="1"/>
    <col min="264" max="266" width="9.140625" customWidth="1"/>
    <col min="513" max="513" width="10.28515625" customWidth="1"/>
    <col min="514" max="514" width="30.7109375" customWidth="1"/>
    <col min="515" max="515" width="20.7109375" customWidth="1"/>
    <col min="516" max="516" width="30.7109375" customWidth="1"/>
    <col min="517" max="517" width="10.28515625" customWidth="1"/>
    <col min="518" max="519" width="15.42578125" customWidth="1"/>
    <col min="520" max="522" width="9.140625" customWidth="1"/>
    <col min="769" max="769" width="10.28515625" customWidth="1"/>
    <col min="770" max="770" width="30.7109375" customWidth="1"/>
    <col min="771" max="771" width="20.7109375" customWidth="1"/>
    <col min="772" max="772" width="30.7109375" customWidth="1"/>
    <col min="773" max="773" width="10.28515625" customWidth="1"/>
    <col min="774" max="775" width="15.42578125" customWidth="1"/>
    <col min="776" max="778" width="9.140625" customWidth="1"/>
    <col min="1025" max="1025" width="10.28515625" customWidth="1"/>
    <col min="1026" max="1026" width="30.7109375" customWidth="1"/>
    <col min="1027" max="1027" width="20.7109375" customWidth="1"/>
    <col min="1028" max="1028" width="30.7109375" customWidth="1"/>
    <col min="1029" max="1029" width="10.28515625" customWidth="1"/>
    <col min="1030" max="1031" width="15.42578125" customWidth="1"/>
    <col min="1032" max="1034" width="9.140625" customWidth="1"/>
    <col min="1281" max="1281" width="10.28515625" customWidth="1"/>
    <col min="1282" max="1282" width="30.7109375" customWidth="1"/>
    <col min="1283" max="1283" width="20.7109375" customWidth="1"/>
    <col min="1284" max="1284" width="30.7109375" customWidth="1"/>
    <col min="1285" max="1285" width="10.28515625" customWidth="1"/>
    <col min="1286" max="1287" width="15.42578125" customWidth="1"/>
    <col min="1288" max="1290" width="9.140625" customWidth="1"/>
    <col min="1537" max="1537" width="10.28515625" customWidth="1"/>
    <col min="1538" max="1538" width="30.7109375" customWidth="1"/>
    <col min="1539" max="1539" width="20.7109375" customWidth="1"/>
    <col min="1540" max="1540" width="30.7109375" customWidth="1"/>
    <col min="1541" max="1541" width="10.28515625" customWidth="1"/>
    <col min="1542" max="1543" width="15.42578125" customWidth="1"/>
    <col min="1544" max="1546" width="9.140625" customWidth="1"/>
    <col min="1793" max="1793" width="10.28515625" customWidth="1"/>
    <col min="1794" max="1794" width="30.7109375" customWidth="1"/>
    <col min="1795" max="1795" width="20.7109375" customWidth="1"/>
    <col min="1796" max="1796" width="30.7109375" customWidth="1"/>
    <col min="1797" max="1797" width="10.28515625" customWidth="1"/>
    <col min="1798" max="1799" width="15.42578125" customWidth="1"/>
    <col min="1800" max="1802" width="9.140625" customWidth="1"/>
    <col min="2049" max="2049" width="10.28515625" customWidth="1"/>
    <col min="2050" max="2050" width="30.7109375" customWidth="1"/>
    <col min="2051" max="2051" width="20.7109375" customWidth="1"/>
    <col min="2052" max="2052" width="30.7109375" customWidth="1"/>
    <col min="2053" max="2053" width="10.28515625" customWidth="1"/>
    <col min="2054" max="2055" width="15.42578125" customWidth="1"/>
    <col min="2056" max="2058" width="9.140625" customWidth="1"/>
    <col min="2305" max="2305" width="10.28515625" customWidth="1"/>
    <col min="2306" max="2306" width="30.7109375" customWidth="1"/>
    <col min="2307" max="2307" width="20.7109375" customWidth="1"/>
    <col min="2308" max="2308" width="30.7109375" customWidth="1"/>
    <col min="2309" max="2309" width="10.28515625" customWidth="1"/>
    <col min="2310" max="2311" width="15.42578125" customWidth="1"/>
    <col min="2312" max="2314" width="9.140625" customWidth="1"/>
    <col min="2561" max="2561" width="10.28515625" customWidth="1"/>
    <col min="2562" max="2562" width="30.7109375" customWidth="1"/>
    <col min="2563" max="2563" width="20.7109375" customWidth="1"/>
    <col min="2564" max="2564" width="30.7109375" customWidth="1"/>
    <col min="2565" max="2565" width="10.28515625" customWidth="1"/>
    <col min="2566" max="2567" width="15.42578125" customWidth="1"/>
    <col min="2568" max="2570" width="9.140625" customWidth="1"/>
    <col min="2817" max="2817" width="10.28515625" customWidth="1"/>
    <col min="2818" max="2818" width="30.7109375" customWidth="1"/>
    <col min="2819" max="2819" width="20.7109375" customWidth="1"/>
    <col min="2820" max="2820" width="30.7109375" customWidth="1"/>
    <col min="2821" max="2821" width="10.28515625" customWidth="1"/>
    <col min="2822" max="2823" width="15.42578125" customWidth="1"/>
    <col min="2824" max="2826" width="9.140625" customWidth="1"/>
    <col min="3073" max="3073" width="10.28515625" customWidth="1"/>
    <col min="3074" max="3074" width="30.7109375" customWidth="1"/>
    <col min="3075" max="3075" width="20.7109375" customWidth="1"/>
    <col min="3076" max="3076" width="30.7109375" customWidth="1"/>
    <col min="3077" max="3077" width="10.28515625" customWidth="1"/>
    <col min="3078" max="3079" width="15.42578125" customWidth="1"/>
    <col min="3080" max="3082" width="9.140625" customWidth="1"/>
    <col min="3329" max="3329" width="10.28515625" customWidth="1"/>
    <col min="3330" max="3330" width="30.7109375" customWidth="1"/>
    <col min="3331" max="3331" width="20.7109375" customWidth="1"/>
    <col min="3332" max="3332" width="30.7109375" customWidth="1"/>
    <col min="3333" max="3333" width="10.28515625" customWidth="1"/>
    <col min="3334" max="3335" width="15.42578125" customWidth="1"/>
    <col min="3336" max="3338" width="9.140625" customWidth="1"/>
    <col min="3585" max="3585" width="10.28515625" customWidth="1"/>
    <col min="3586" max="3586" width="30.7109375" customWidth="1"/>
    <col min="3587" max="3587" width="20.7109375" customWidth="1"/>
    <col min="3588" max="3588" width="30.7109375" customWidth="1"/>
    <col min="3589" max="3589" width="10.28515625" customWidth="1"/>
    <col min="3590" max="3591" width="15.42578125" customWidth="1"/>
    <col min="3592" max="3594" width="9.140625" customWidth="1"/>
    <col min="3841" max="3841" width="10.28515625" customWidth="1"/>
    <col min="3842" max="3842" width="30.7109375" customWidth="1"/>
    <col min="3843" max="3843" width="20.7109375" customWidth="1"/>
    <col min="3844" max="3844" width="30.7109375" customWidth="1"/>
    <col min="3845" max="3845" width="10.28515625" customWidth="1"/>
    <col min="3846" max="3847" width="15.42578125" customWidth="1"/>
    <col min="3848" max="3850" width="9.140625" customWidth="1"/>
    <col min="4097" max="4097" width="10.28515625" customWidth="1"/>
    <col min="4098" max="4098" width="30.7109375" customWidth="1"/>
    <col min="4099" max="4099" width="20.7109375" customWidth="1"/>
    <col min="4100" max="4100" width="30.7109375" customWidth="1"/>
    <col min="4101" max="4101" width="10.28515625" customWidth="1"/>
    <col min="4102" max="4103" width="15.42578125" customWidth="1"/>
    <col min="4104" max="4106" width="9.140625" customWidth="1"/>
    <col min="4353" max="4353" width="10.28515625" customWidth="1"/>
    <col min="4354" max="4354" width="30.7109375" customWidth="1"/>
    <col min="4355" max="4355" width="20.7109375" customWidth="1"/>
    <col min="4356" max="4356" width="30.7109375" customWidth="1"/>
    <col min="4357" max="4357" width="10.28515625" customWidth="1"/>
    <col min="4358" max="4359" width="15.42578125" customWidth="1"/>
    <col min="4360" max="4362" width="9.140625" customWidth="1"/>
    <col min="4609" max="4609" width="10.28515625" customWidth="1"/>
    <col min="4610" max="4610" width="30.7109375" customWidth="1"/>
    <col min="4611" max="4611" width="20.7109375" customWidth="1"/>
    <col min="4612" max="4612" width="30.7109375" customWidth="1"/>
    <col min="4613" max="4613" width="10.28515625" customWidth="1"/>
    <col min="4614" max="4615" width="15.42578125" customWidth="1"/>
    <col min="4616" max="4618" width="9.140625" customWidth="1"/>
    <col min="4865" max="4865" width="10.28515625" customWidth="1"/>
    <col min="4866" max="4866" width="30.7109375" customWidth="1"/>
    <col min="4867" max="4867" width="20.7109375" customWidth="1"/>
    <col min="4868" max="4868" width="30.7109375" customWidth="1"/>
    <col min="4869" max="4869" width="10.28515625" customWidth="1"/>
    <col min="4870" max="4871" width="15.42578125" customWidth="1"/>
    <col min="4872" max="4874" width="9.140625" customWidth="1"/>
    <col min="5121" max="5121" width="10.28515625" customWidth="1"/>
    <col min="5122" max="5122" width="30.7109375" customWidth="1"/>
    <col min="5123" max="5123" width="20.7109375" customWidth="1"/>
    <col min="5124" max="5124" width="30.7109375" customWidth="1"/>
    <col min="5125" max="5125" width="10.28515625" customWidth="1"/>
    <col min="5126" max="5127" width="15.42578125" customWidth="1"/>
    <col min="5128" max="5130" width="9.140625" customWidth="1"/>
    <col min="5377" max="5377" width="10.28515625" customWidth="1"/>
    <col min="5378" max="5378" width="30.7109375" customWidth="1"/>
    <col min="5379" max="5379" width="20.7109375" customWidth="1"/>
    <col min="5380" max="5380" width="30.7109375" customWidth="1"/>
    <col min="5381" max="5381" width="10.28515625" customWidth="1"/>
    <col min="5382" max="5383" width="15.42578125" customWidth="1"/>
    <col min="5384" max="5386" width="9.140625" customWidth="1"/>
    <col min="5633" max="5633" width="10.28515625" customWidth="1"/>
    <col min="5634" max="5634" width="30.7109375" customWidth="1"/>
    <col min="5635" max="5635" width="20.7109375" customWidth="1"/>
    <col min="5636" max="5636" width="30.7109375" customWidth="1"/>
    <col min="5637" max="5637" width="10.28515625" customWidth="1"/>
    <col min="5638" max="5639" width="15.42578125" customWidth="1"/>
    <col min="5640" max="5642" width="9.140625" customWidth="1"/>
    <col min="5889" max="5889" width="10.28515625" customWidth="1"/>
    <col min="5890" max="5890" width="30.7109375" customWidth="1"/>
    <col min="5891" max="5891" width="20.7109375" customWidth="1"/>
    <col min="5892" max="5892" width="30.7109375" customWidth="1"/>
    <col min="5893" max="5893" width="10.28515625" customWidth="1"/>
    <col min="5894" max="5895" width="15.42578125" customWidth="1"/>
    <col min="5896" max="5898" width="9.140625" customWidth="1"/>
    <col min="6145" max="6145" width="10.28515625" customWidth="1"/>
    <col min="6146" max="6146" width="30.7109375" customWidth="1"/>
    <col min="6147" max="6147" width="20.7109375" customWidth="1"/>
    <col min="6148" max="6148" width="30.7109375" customWidth="1"/>
    <col min="6149" max="6149" width="10.28515625" customWidth="1"/>
    <col min="6150" max="6151" width="15.42578125" customWidth="1"/>
    <col min="6152" max="6154" width="9.140625" customWidth="1"/>
    <col min="6401" max="6401" width="10.28515625" customWidth="1"/>
    <col min="6402" max="6402" width="30.7109375" customWidth="1"/>
    <col min="6403" max="6403" width="20.7109375" customWidth="1"/>
    <col min="6404" max="6404" width="30.7109375" customWidth="1"/>
    <col min="6405" max="6405" width="10.28515625" customWidth="1"/>
    <col min="6406" max="6407" width="15.42578125" customWidth="1"/>
    <col min="6408" max="6410" width="9.140625" customWidth="1"/>
    <col min="6657" max="6657" width="10.28515625" customWidth="1"/>
    <col min="6658" max="6658" width="30.7109375" customWidth="1"/>
    <col min="6659" max="6659" width="20.7109375" customWidth="1"/>
    <col min="6660" max="6660" width="30.7109375" customWidth="1"/>
    <col min="6661" max="6661" width="10.28515625" customWidth="1"/>
    <col min="6662" max="6663" width="15.42578125" customWidth="1"/>
    <col min="6664" max="6666" width="9.140625" customWidth="1"/>
    <col min="6913" max="6913" width="10.28515625" customWidth="1"/>
    <col min="6914" max="6914" width="30.7109375" customWidth="1"/>
    <col min="6915" max="6915" width="20.7109375" customWidth="1"/>
    <col min="6916" max="6916" width="30.7109375" customWidth="1"/>
    <col min="6917" max="6917" width="10.28515625" customWidth="1"/>
    <col min="6918" max="6919" width="15.42578125" customWidth="1"/>
    <col min="6920" max="6922" width="9.140625" customWidth="1"/>
    <col min="7169" max="7169" width="10.28515625" customWidth="1"/>
    <col min="7170" max="7170" width="30.7109375" customWidth="1"/>
    <col min="7171" max="7171" width="20.7109375" customWidth="1"/>
    <col min="7172" max="7172" width="30.7109375" customWidth="1"/>
    <col min="7173" max="7173" width="10.28515625" customWidth="1"/>
    <col min="7174" max="7175" width="15.42578125" customWidth="1"/>
    <col min="7176" max="7178" width="9.140625" customWidth="1"/>
    <col min="7425" max="7425" width="10.28515625" customWidth="1"/>
    <col min="7426" max="7426" width="30.7109375" customWidth="1"/>
    <col min="7427" max="7427" width="20.7109375" customWidth="1"/>
    <col min="7428" max="7428" width="30.7109375" customWidth="1"/>
    <col min="7429" max="7429" width="10.28515625" customWidth="1"/>
    <col min="7430" max="7431" width="15.42578125" customWidth="1"/>
    <col min="7432" max="7434" width="9.140625" customWidth="1"/>
    <col min="7681" max="7681" width="10.28515625" customWidth="1"/>
    <col min="7682" max="7682" width="30.7109375" customWidth="1"/>
    <col min="7683" max="7683" width="20.7109375" customWidth="1"/>
    <col min="7684" max="7684" width="30.7109375" customWidth="1"/>
    <col min="7685" max="7685" width="10.28515625" customWidth="1"/>
    <col min="7686" max="7687" width="15.42578125" customWidth="1"/>
    <col min="7688" max="7690" width="9.140625" customWidth="1"/>
    <col min="7937" max="7937" width="10.28515625" customWidth="1"/>
    <col min="7938" max="7938" width="30.7109375" customWidth="1"/>
    <col min="7939" max="7939" width="20.7109375" customWidth="1"/>
    <col min="7940" max="7940" width="30.7109375" customWidth="1"/>
    <col min="7941" max="7941" width="10.28515625" customWidth="1"/>
    <col min="7942" max="7943" width="15.42578125" customWidth="1"/>
    <col min="7944" max="7946" width="9.140625" customWidth="1"/>
    <col min="8193" max="8193" width="10.28515625" customWidth="1"/>
    <col min="8194" max="8194" width="30.7109375" customWidth="1"/>
    <col min="8195" max="8195" width="20.7109375" customWidth="1"/>
    <col min="8196" max="8196" width="30.7109375" customWidth="1"/>
    <col min="8197" max="8197" width="10.28515625" customWidth="1"/>
    <col min="8198" max="8199" width="15.42578125" customWidth="1"/>
    <col min="8200" max="8202" width="9.140625" customWidth="1"/>
    <col min="8449" max="8449" width="10.28515625" customWidth="1"/>
    <col min="8450" max="8450" width="30.7109375" customWidth="1"/>
    <col min="8451" max="8451" width="20.7109375" customWidth="1"/>
    <col min="8452" max="8452" width="30.7109375" customWidth="1"/>
    <col min="8453" max="8453" width="10.28515625" customWidth="1"/>
    <col min="8454" max="8455" width="15.42578125" customWidth="1"/>
    <col min="8456" max="8458" width="9.140625" customWidth="1"/>
    <col min="8705" max="8705" width="10.28515625" customWidth="1"/>
    <col min="8706" max="8706" width="30.7109375" customWidth="1"/>
    <col min="8707" max="8707" width="20.7109375" customWidth="1"/>
    <col min="8708" max="8708" width="30.7109375" customWidth="1"/>
    <col min="8709" max="8709" width="10.28515625" customWidth="1"/>
    <col min="8710" max="8711" width="15.42578125" customWidth="1"/>
    <col min="8712" max="8714" width="9.140625" customWidth="1"/>
    <col min="8961" max="8961" width="10.28515625" customWidth="1"/>
    <col min="8962" max="8962" width="30.7109375" customWidth="1"/>
    <col min="8963" max="8963" width="20.7109375" customWidth="1"/>
    <col min="8964" max="8964" width="30.7109375" customWidth="1"/>
    <col min="8965" max="8965" width="10.28515625" customWidth="1"/>
    <col min="8966" max="8967" width="15.42578125" customWidth="1"/>
    <col min="8968" max="8970" width="9.140625" customWidth="1"/>
    <col min="9217" max="9217" width="10.28515625" customWidth="1"/>
    <col min="9218" max="9218" width="30.7109375" customWidth="1"/>
    <col min="9219" max="9219" width="20.7109375" customWidth="1"/>
    <col min="9220" max="9220" width="30.7109375" customWidth="1"/>
    <col min="9221" max="9221" width="10.28515625" customWidth="1"/>
    <col min="9222" max="9223" width="15.42578125" customWidth="1"/>
    <col min="9224" max="9226" width="9.140625" customWidth="1"/>
    <col min="9473" max="9473" width="10.28515625" customWidth="1"/>
    <col min="9474" max="9474" width="30.7109375" customWidth="1"/>
    <col min="9475" max="9475" width="20.7109375" customWidth="1"/>
    <col min="9476" max="9476" width="30.7109375" customWidth="1"/>
    <col min="9477" max="9477" width="10.28515625" customWidth="1"/>
    <col min="9478" max="9479" width="15.42578125" customWidth="1"/>
    <col min="9480" max="9482" width="9.140625" customWidth="1"/>
    <col min="9729" max="9729" width="10.28515625" customWidth="1"/>
    <col min="9730" max="9730" width="30.7109375" customWidth="1"/>
    <col min="9731" max="9731" width="20.7109375" customWidth="1"/>
    <col min="9732" max="9732" width="30.7109375" customWidth="1"/>
    <col min="9733" max="9733" width="10.28515625" customWidth="1"/>
    <col min="9734" max="9735" width="15.42578125" customWidth="1"/>
    <col min="9736" max="9738" width="9.140625" customWidth="1"/>
    <col min="9985" max="9985" width="10.28515625" customWidth="1"/>
    <col min="9986" max="9986" width="30.7109375" customWidth="1"/>
    <col min="9987" max="9987" width="20.7109375" customWidth="1"/>
    <col min="9988" max="9988" width="30.7109375" customWidth="1"/>
    <col min="9989" max="9989" width="10.28515625" customWidth="1"/>
    <col min="9990" max="9991" width="15.42578125" customWidth="1"/>
    <col min="9992" max="9994" width="9.140625" customWidth="1"/>
    <col min="10241" max="10241" width="10.28515625" customWidth="1"/>
    <col min="10242" max="10242" width="30.7109375" customWidth="1"/>
    <col min="10243" max="10243" width="20.7109375" customWidth="1"/>
    <col min="10244" max="10244" width="30.7109375" customWidth="1"/>
    <col min="10245" max="10245" width="10.28515625" customWidth="1"/>
    <col min="10246" max="10247" width="15.42578125" customWidth="1"/>
    <col min="10248" max="10250" width="9.140625" customWidth="1"/>
    <col min="10497" max="10497" width="10.28515625" customWidth="1"/>
    <col min="10498" max="10498" width="30.7109375" customWidth="1"/>
    <col min="10499" max="10499" width="20.7109375" customWidth="1"/>
    <col min="10500" max="10500" width="30.7109375" customWidth="1"/>
    <col min="10501" max="10501" width="10.28515625" customWidth="1"/>
    <col min="10502" max="10503" width="15.42578125" customWidth="1"/>
    <col min="10504" max="10506" width="9.140625" customWidth="1"/>
    <col min="10753" max="10753" width="10.28515625" customWidth="1"/>
    <col min="10754" max="10754" width="30.7109375" customWidth="1"/>
    <col min="10755" max="10755" width="20.7109375" customWidth="1"/>
    <col min="10756" max="10756" width="30.7109375" customWidth="1"/>
    <col min="10757" max="10757" width="10.28515625" customWidth="1"/>
    <col min="10758" max="10759" width="15.42578125" customWidth="1"/>
    <col min="10760" max="10762" width="9.140625" customWidth="1"/>
    <col min="11009" max="11009" width="10.28515625" customWidth="1"/>
    <col min="11010" max="11010" width="30.7109375" customWidth="1"/>
    <col min="11011" max="11011" width="20.7109375" customWidth="1"/>
    <col min="11012" max="11012" width="30.7109375" customWidth="1"/>
    <col min="11013" max="11013" width="10.28515625" customWidth="1"/>
    <col min="11014" max="11015" width="15.42578125" customWidth="1"/>
    <col min="11016" max="11018" width="9.140625" customWidth="1"/>
    <col min="11265" max="11265" width="10.28515625" customWidth="1"/>
    <col min="11266" max="11266" width="30.7109375" customWidth="1"/>
    <col min="11267" max="11267" width="20.7109375" customWidth="1"/>
    <col min="11268" max="11268" width="30.7109375" customWidth="1"/>
    <col min="11269" max="11269" width="10.28515625" customWidth="1"/>
    <col min="11270" max="11271" width="15.42578125" customWidth="1"/>
    <col min="11272" max="11274" width="9.140625" customWidth="1"/>
    <col min="11521" max="11521" width="10.28515625" customWidth="1"/>
    <col min="11522" max="11522" width="30.7109375" customWidth="1"/>
    <col min="11523" max="11523" width="20.7109375" customWidth="1"/>
    <col min="11524" max="11524" width="30.7109375" customWidth="1"/>
    <col min="11525" max="11525" width="10.28515625" customWidth="1"/>
    <col min="11526" max="11527" width="15.42578125" customWidth="1"/>
    <col min="11528" max="11530" width="9.140625" customWidth="1"/>
    <col min="11777" max="11777" width="10.28515625" customWidth="1"/>
    <col min="11778" max="11778" width="30.7109375" customWidth="1"/>
    <col min="11779" max="11779" width="20.7109375" customWidth="1"/>
    <col min="11780" max="11780" width="30.7109375" customWidth="1"/>
    <col min="11781" max="11781" width="10.28515625" customWidth="1"/>
    <col min="11782" max="11783" width="15.42578125" customWidth="1"/>
    <col min="11784" max="11786" width="9.140625" customWidth="1"/>
    <col min="12033" max="12033" width="10.28515625" customWidth="1"/>
    <col min="12034" max="12034" width="30.7109375" customWidth="1"/>
    <col min="12035" max="12035" width="20.7109375" customWidth="1"/>
    <col min="12036" max="12036" width="30.7109375" customWidth="1"/>
    <col min="12037" max="12037" width="10.28515625" customWidth="1"/>
    <col min="12038" max="12039" width="15.42578125" customWidth="1"/>
    <col min="12040" max="12042" width="9.140625" customWidth="1"/>
    <col min="12289" max="12289" width="10.28515625" customWidth="1"/>
    <col min="12290" max="12290" width="30.7109375" customWidth="1"/>
    <col min="12291" max="12291" width="20.7109375" customWidth="1"/>
    <col min="12292" max="12292" width="30.7109375" customWidth="1"/>
    <col min="12293" max="12293" width="10.28515625" customWidth="1"/>
    <col min="12294" max="12295" width="15.42578125" customWidth="1"/>
    <col min="12296" max="12298" width="9.140625" customWidth="1"/>
    <col min="12545" max="12545" width="10.28515625" customWidth="1"/>
    <col min="12546" max="12546" width="30.7109375" customWidth="1"/>
    <col min="12547" max="12547" width="20.7109375" customWidth="1"/>
    <col min="12548" max="12548" width="30.7109375" customWidth="1"/>
    <col min="12549" max="12549" width="10.28515625" customWidth="1"/>
    <col min="12550" max="12551" width="15.42578125" customWidth="1"/>
    <col min="12552" max="12554" width="9.140625" customWidth="1"/>
    <col min="12801" max="12801" width="10.28515625" customWidth="1"/>
    <col min="12802" max="12802" width="30.7109375" customWidth="1"/>
    <col min="12803" max="12803" width="20.7109375" customWidth="1"/>
    <col min="12804" max="12804" width="30.7109375" customWidth="1"/>
    <col min="12805" max="12805" width="10.28515625" customWidth="1"/>
    <col min="12806" max="12807" width="15.42578125" customWidth="1"/>
    <col min="12808" max="12810" width="9.140625" customWidth="1"/>
    <col min="13057" max="13057" width="10.28515625" customWidth="1"/>
    <col min="13058" max="13058" width="30.7109375" customWidth="1"/>
    <col min="13059" max="13059" width="20.7109375" customWidth="1"/>
    <col min="13060" max="13060" width="30.7109375" customWidth="1"/>
    <col min="13061" max="13061" width="10.28515625" customWidth="1"/>
    <col min="13062" max="13063" width="15.42578125" customWidth="1"/>
    <col min="13064" max="13066" width="9.140625" customWidth="1"/>
    <col min="13313" max="13313" width="10.28515625" customWidth="1"/>
    <col min="13314" max="13314" width="30.7109375" customWidth="1"/>
    <col min="13315" max="13315" width="20.7109375" customWidth="1"/>
    <col min="13316" max="13316" width="30.7109375" customWidth="1"/>
    <col min="13317" max="13317" width="10.28515625" customWidth="1"/>
    <col min="13318" max="13319" width="15.42578125" customWidth="1"/>
    <col min="13320" max="13322" width="9.140625" customWidth="1"/>
    <col min="13569" max="13569" width="10.28515625" customWidth="1"/>
    <col min="13570" max="13570" width="30.7109375" customWidth="1"/>
    <col min="13571" max="13571" width="20.7109375" customWidth="1"/>
    <col min="13572" max="13572" width="30.7109375" customWidth="1"/>
    <col min="13573" max="13573" width="10.28515625" customWidth="1"/>
    <col min="13574" max="13575" width="15.42578125" customWidth="1"/>
    <col min="13576" max="13578" width="9.140625" customWidth="1"/>
    <col min="13825" max="13825" width="10.28515625" customWidth="1"/>
    <col min="13826" max="13826" width="30.7109375" customWidth="1"/>
    <col min="13827" max="13827" width="20.7109375" customWidth="1"/>
    <col min="13828" max="13828" width="30.7109375" customWidth="1"/>
    <col min="13829" max="13829" width="10.28515625" customWidth="1"/>
    <col min="13830" max="13831" width="15.42578125" customWidth="1"/>
    <col min="13832" max="13834" width="9.140625" customWidth="1"/>
    <col min="14081" max="14081" width="10.28515625" customWidth="1"/>
    <col min="14082" max="14082" width="30.7109375" customWidth="1"/>
    <col min="14083" max="14083" width="20.7109375" customWidth="1"/>
    <col min="14084" max="14084" width="30.7109375" customWidth="1"/>
    <col min="14085" max="14085" width="10.28515625" customWidth="1"/>
    <col min="14086" max="14087" width="15.42578125" customWidth="1"/>
    <col min="14088" max="14090" width="9.140625" customWidth="1"/>
    <col min="14337" max="14337" width="10.28515625" customWidth="1"/>
    <col min="14338" max="14338" width="30.7109375" customWidth="1"/>
    <col min="14339" max="14339" width="20.7109375" customWidth="1"/>
    <col min="14340" max="14340" width="30.7109375" customWidth="1"/>
    <col min="14341" max="14341" width="10.28515625" customWidth="1"/>
    <col min="14342" max="14343" width="15.42578125" customWidth="1"/>
    <col min="14344" max="14346" width="9.140625" customWidth="1"/>
    <col min="14593" max="14593" width="10.28515625" customWidth="1"/>
    <col min="14594" max="14594" width="30.7109375" customWidth="1"/>
    <col min="14595" max="14595" width="20.7109375" customWidth="1"/>
    <col min="14596" max="14596" width="30.7109375" customWidth="1"/>
    <col min="14597" max="14597" width="10.28515625" customWidth="1"/>
    <col min="14598" max="14599" width="15.42578125" customWidth="1"/>
    <col min="14600" max="14602" width="9.140625" customWidth="1"/>
    <col min="14849" max="14849" width="10.28515625" customWidth="1"/>
    <col min="14850" max="14850" width="30.7109375" customWidth="1"/>
    <col min="14851" max="14851" width="20.7109375" customWidth="1"/>
    <col min="14852" max="14852" width="30.7109375" customWidth="1"/>
    <col min="14853" max="14853" width="10.28515625" customWidth="1"/>
    <col min="14854" max="14855" width="15.42578125" customWidth="1"/>
    <col min="14856" max="14858" width="9.140625" customWidth="1"/>
    <col min="15105" max="15105" width="10.28515625" customWidth="1"/>
    <col min="15106" max="15106" width="30.7109375" customWidth="1"/>
    <col min="15107" max="15107" width="20.7109375" customWidth="1"/>
    <col min="15108" max="15108" width="30.7109375" customWidth="1"/>
    <col min="15109" max="15109" width="10.28515625" customWidth="1"/>
    <col min="15110" max="15111" width="15.42578125" customWidth="1"/>
    <col min="15112" max="15114" width="9.140625" customWidth="1"/>
    <col min="15361" max="15361" width="10.28515625" customWidth="1"/>
    <col min="15362" max="15362" width="30.7109375" customWidth="1"/>
    <col min="15363" max="15363" width="20.7109375" customWidth="1"/>
    <col min="15364" max="15364" width="30.7109375" customWidth="1"/>
    <col min="15365" max="15365" width="10.28515625" customWidth="1"/>
    <col min="15366" max="15367" width="15.42578125" customWidth="1"/>
    <col min="15368" max="15370" width="9.140625" customWidth="1"/>
    <col min="15617" max="15617" width="10.28515625" customWidth="1"/>
    <col min="15618" max="15618" width="30.7109375" customWidth="1"/>
    <col min="15619" max="15619" width="20.7109375" customWidth="1"/>
    <col min="15620" max="15620" width="30.7109375" customWidth="1"/>
    <col min="15621" max="15621" width="10.28515625" customWidth="1"/>
    <col min="15622" max="15623" width="15.42578125" customWidth="1"/>
    <col min="15624" max="15626" width="9.140625" customWidth="1"/>
    <col min="15873" max="15873" width="10.28515625" customWidth="1"/>
    <col min="15874" max="15874" width="30.7109375" customWidth="1"/>
    <col min="15875" max="15875" width="20.7109375" customWidth="1"/>
    <col min="15876" max="15876" width="30.7109375" customWidth="1"/>
    <col min="15877" max="15877" width="10.28515625" customWidth="1"/>
    <col min="15878" max="15879" width="15.42578125" customWidth="1"/>
    <col min="15880" max="15882" width="9.140625" customWidth="1"/>
    <col min="16129" max="16129" width="10.28515625" customWidth="1"/>
    <col min="16130" max="16130" width="30.7109375" customWidth="1"/>
    <col min="16131" max="16131" width="20.7109375" customWidth="1"/>
    <col min="16132" max="16132" width="30.7109375" customWidth="1"/>
    <col min="16133" max="16133" width="10.28515625" customWidth="1"/>
    <col min="16134" max="16135" width="15.42578125" customWidth="1"/>
    <col min="16136" max="16138" width="9.140625" customWidth="1"/>
  </cols>
  <sheetData>
    <row r="1" spans="1:10" ht="10.9" customHeight="1">
      <c r="A1" s="130" t="s">
        <v>367</v>
      </c>
      <c r="B1" s="130"/>
      <c r="C1" s="130"/>
      <c r="D1" s="130"/>
      <c r="E1" s="130"/>
      <c r="F1" s="130"/>
      <c r="G1" s="63"/>
      <c r="H1" s="63"/>
      <c r="I1" s="63"/>
      <c r="J1" s="63"/>
    </row>
    <row r="2" spans="1:10" ht="10.9" customHeight="1">
      <c r="A2" s="64" t="s">
        <v>368</v>
      </c>
      <c r="B2" s="63"/>
      <c r="C2" s="63"/>
      <c r="D2" s="63"/>
      <c r="E2" s="63"/>
      <c r="F2" s="63"/>
      <c r="G2" s="63"/>
      <c r="H2" s="63"/>
      <c r="I2" s="63"/>
      <c r="J2" s="63"/>
    </row>
    <row r="3" spans="1:10" ht="10.9" customHeight="1">
      <c r="A3" s="65"/>
      <c r="B3" s="66"/>
      <c r="C3" s="66"/>
      <c r="D3" s="66"/>
      <c r="E3" s="66"/>
      <c r="F3" s="66"/>
      <c r="G3" s="66"/>
      <c r="H3" s="66"/>
      <c r="I3" s="66"/>
      <c r="J3" s="66"/>
    </row>
    <row r="4" spans="1:10" ht="10.9" customHeight="1">
      <c r="A4" s="65" t="s">
        <v>369</v>
      </c>
      <c r="B4" s="66"/>
      <c r="C4" s="66"/>
      <c r="D4" s="66"/>
      <c r="E4" s="67"/>
      <c r="F4" s="66"/>
      <c r="G4" s="67"/>
      <c r="H4" s="67"/>
      <c r="I4" s="66"/>
      <c r="J4" s="66"/>
    </row>
    <row r="5" spans="1:10" ht="10.9" customHeight="1">
      <c r="A5" s="63" t="s">
        <v>370</v>
      </c>
      <c r="B5" s="63"/>
      <c r="C5" s="63"/>
      <c r="D5" s="63"/>
      <c r="E5" s="63"/>
      <c r="F5" s="63"/>
      <c r="G5" s="63"/>
      <c r="H5" s="63"/>
      <c r="I5" s="63"/>
      <c r="J5" s="63"/>
    </row>
    <row r="6" spans="1:10" ht="10.9" customHeight="1">
      <c r="A6" s="128"/>
      <c r="B6" s="129"/>
      <c r="C6" s="129"/>
      <c r="D6" s="129"/>
      <c r="E6" s="129"/>
      <c r="F6" s="129"/>
      <c r="G6" s="129"/>
      <c r="H6" s="129"/>
      <c r="I6" s="68"/>
      <c r="J6" s="68"/>
    </row>
    <row r="7" spans="1:10" ht="10.9" customHeight="1">
      <c r="A7" s="128" t="s">
        <v>371</v>
      </c>
      <c r="B7" s="129"/>
      <c r="C7" s="129"/>
      <c r="D7" s="129"/>
      <c r="E7" s="129"/>
      <c r="F7" s="129"/>
      <c r="G7" s="129"/>
    </row>
    <row r="8" spans="1:10" ht="10.9" customHeight="1">
      <c r="A8" s="128" t="s">
        <v>372</v>
      </c>
      <c r="B8" s="129"/>
      <c r="C8" s="129"/>
      <c r="D8" s="129"/>
      <c r="E8" s="129"/>
      <c r="F8" s="129"/>
      <c r="G8" s="129"/>
    </row>
    <row r="9" spans="1:10" ht="10.9" customHeight="1">
      <c r="A9" s="128" t="s">
        <v>373</v>
      </c>
      <c r="B9" s="129"/>
      <c r="C9" s="129"/>
      <c r="D9" s="129"/>
      <c r="E9" s="129"/>
      <c r="F9" s="129"/>
      <c r="G9" s="129"/>
    </row>
    <row r="10" spans="1:10" ht="10.9" customHeight="1">
      <c r="A10" s="128"/>
      <c r="B10" s="129"/>
      <c r="C10" s="129"/>
      <c r="D10" s="129"/>
      <c r="E10" s="129"/>
      <c r="F10" s="129"/>
      <c r="G10" s="129"/>
    </row>
    <row r="11" spans="1:10" ht="10.9" customHeight="1">
      <c r="A11" s="69" t="s">
        <v>374</v>
      </c>
      <c r="B11" s="69"/>
      <c r="C11" s="69"/>
      <c r="D11" s="69"/>
      <c r="E11" s="69"/>
      <c r="F11" s="69"/>
      <c r="G11" s="69"/>
      <c r="H11" s="69"/>
      <c r="I11" s="63"/>
      <c r="J11" s="63"/>
    </row>
    <row r="12" spans="1:10" ht="10.9" customHeight="1">
      <c r="A12" s="51" t="s">
        <v>375</v>
      </c>
      <c r="B12" s="51" t="s">
        <v>376</v>
      </c>
      <c r="C12" s="51" t="s">
        <v>350</v>
      </c>
      <c r="D12" s="51" t="s">
        <v>351</v>
      </c>
      <c r="E12" s="51" t="s">
        <v>377</v>
      </c>
      <c r="F12" s="51" t="s">
        <v>352</v>
      </c>
      <c r="G12" s="51" t="s">
        <v>378</v>
      </c>
    </row>
    <row r="13" spans="1:10" ht="10.9" customHeight="1">
      <c r="A13" s="52" t="s">
        <v>379</v>
      </c>
      <c r="B13" s="53" t="s">
        <v>380</v>
      </c>
      <c r="C13" s="52" t="s">
        <v>186</v>
      </c>
      <c r="D13" s="53" t="s">
        <v>184</v>
      </c>
      <c r="E13" s="52" t="s">
        <v>381</v>
      </c>
      <c r="F13" s="54">
        <v>56878281.5</v>
      </c>
      <c r="G13" s="54">
        <v>35000000</v>
      </c>
    </row>
    <row r="14" spans="1:10" ht="10.9" customHeight="1">
      <c r="A14" s="52" t="s">
        <v>379</v>
      </c>
      <c r="B14" s="53" t="s">
        <v>380</v>
      </c>
      <c r="C14" s="52" t="s">
        <v>191</v>
      </c>
      <c r="D14" s="53" t="s">
        <v>362</v>
      </c>
      <c r="E14" s="52" t="s">
        <v>382</v>
      </c>
      <c r="F14" s="54">
        <v>1300000</v>
      </c>
      <c r="G14" s="54">
        <v>1282458.98</v>
      </c>
    </row>
    <row r="15" spans="1:10" ht="10.9" customHeight="1">
      <c r="A15" s="52" t="s">
        <v>379</v>
      </c>
      <c r="B15" s="53" t="s">
        <v>380</v>
      </c>
      <c r="C15" s="52" t="s">
        <v>340</v>
      </c>
      <c r="D15" s="53" t="s">
        <v>341</v>
      </c>
      <c r="E15" s="52" t="s">
        <v>382</v>
      </c>
      <c r="F15" s="54">
        <v>3440000</v>
      </c>
      <c r="G15" s="54">
        <v>0</v>
      </c>
    </row>
    <row r="16" spans="1:10" ht="10.9" customHeight="1">
      <c r="A16" s="52" t="s">
        <v>379</v>
      </c>
      <c r="B16" s="53" t="s">
        <v>380</v>
      </c>
      <c r="C16" s="52" t="s">
        <v>197</v>
      </c>
      <c r="D16" s="53" t="s">
        <v>196</v>
      </c>
      <c r="E16" s="52" t="s">
        <v>382</v>
      </c>
      <c r="F16" s="54">
        <v>9540460</v>
      </c>
      <c r="G16" s="54">
        <v>5443982.2000000002</v>
      </c>
    </row>
    <row r="17" spans="1:7" ht="10.9" customHeight="1">
      <c r="A17" s="52" t="s">
        <v>379</v>
      </c>
      <c r="B17" s="53" t="s">
        <v>380</v>
      </c>
      <c r="C17" s="52" t="s">
        <v>205</v>
      </c>
      <c r="D17" s="55" t="s">
        <v>363</v>
      </c>
      <c r="E17" s="52" t="s">
        <v>382</v>
      </c>
      <c r="F17" s="54">
        <v>3896123.33</v>
      </c>
      <c r="G17" s="54">
        <v>3291780</v>
      </c>
    </row>
    <row r="18" spans="1:7" ht="10.9" customHeight="1">
      <c r="A18" s="52" t="s">
        <v>379</v>
      </c>
      <c r="B18" s="53" t="s">
        <v>380</v>
      </c>
      <c r="C18" s="52" t="s">
        <v>201</v>
      </c>
      <c r="D18" s="55" t="s">
        <v>200</v>
      </c>
      <c r="E18" s="52" t="s">
        <v>382</v>
      </c>
      <c r="F18" s="54">
        <v>4165550</v>
      </c>
      <c r="G18" s="54">
        <v>0</v>
      </c>
    </row>
    <row r="19" spans="1:7" ht="10.9" customHeight="1">
      <c r="A19" s="52" t="s">
        <v>379</v>
      </c>
      <c r="B19" s="53" t="s">
        <v>380</v>
      </c>
      <c r="C19" s="52" t="s">
        <v>199</v>
      </c>
      <c r="D19" s="53" t="s">
        <v>364</v>
      </c>
      <c r="E19" s="52" t="s">
        <v>382</v>
      </c>
      <c r="F19" s="54">
        <v>11140000</v>
      </c>
      <c r="G19" s="54">
        <v>7275000</v>
      </c>
    </row>
    <row r="20" spans="1:7" ht="10.9" customHeight="1">
      <c r="A20" s="52" t="s">
        <v>383</v>
      </c>
      <c r="B20" s="53" t="s">
        <v>384</v>
      </c>
      <c r="C20" s="52" t="s">
        <v>320</v>
      </c>
      <c r="D20" s="53" t="s">
        <v>319</v>
      </c>
      <c r="E20" s="52" t="s">
        <v>382</v>
      </c>
      <c r="F20" s="54">
        <v>7367200</v>
      </c>
      <c r="G20" s="54">
        <v>300645.40000000002</v>
      </c>
    </row>
    <row r="21" spans="1:7" ht="10.9" customHeight="1">
      <c r="A21" s="52" t="s">
        <v>383</v>
      </c>
      <c r="B21" s="53" t="s">
        <v>384</v>
      </c>
      <c r="C21" s="52" t="s">
        <v>320</v>
      </c>
      <c r="D21" s="53" t="s">
        <v>319</v>
      </c>
      <c r="E21" s="52" t="s">
        <v>385</v>
      </c>
      <c r="F21" s="54">
        <v>2050000</v>
      </c>
      <c r="G21" s="54">
        <v>0</v>
      </c>
    </row>
    <row r="22" spans="1:7" ht="10.9" customHeight="1">
      <c r="A22" s="52" t="s">
        <v>383</v>
      </c>
      <c r="B22" s="53" t="s">
        <v>384</v>
      </c>
      <c r="C22" s="52" t="s">
        <v>320</v>
      </c>
      <c r="D22" s="53" t="s">
        <v>319</v>
      </c>
      <c r="E22" s="52" t="s">
        <v>386</v>
      </c>
      <c r="F22" s="54">
        <v>9707600</v>
      </c>
      <c r="G22" s="54">
        <v>0</v>
      </c>
    </row>
    <row r="23" spans="1:7" ht="10.9" customHeight="1">
      <c r="A23" s="52" t="s">
        <v>383</v>
      </c>
      <c r="B23" s="53" t="s">
        <v>384</v>
      </c>
      <c r="C23" s="52" t="s">
        <v>322</v>
      </c>
      <c r="D23" s="53" t="s">
        <v>321</v>
      </c>
      <c r="E23" s="52" t="s">
        <v>387</v>
      </c>
      <c r="F23" s="54">
        <v>27589200</v>
      </c>
      <c r="G23" s="54">
        <v>1805800</v>
      </c>
    </row>
    <row r="24" spans="1:7" ht="10.9" customHeight="1">
      <c r="A24" s="52" t="s">
        <v>383</v>
      </c>
      <c r="B24" s="53" t="s">
        <v>384</v>
      </c>
      <c r="C24" s="52" t="s">
        <v>26</v>
      </c>
      <c r="D24" s="53" t="s">
        <v>24</v>
      </c>
      <c r="E24" s="52" t="s">
        <v>382</v>
      </c>
      <c r="F24" s="54">
        <v>24069702.359999999</v>
      </c>
      <c r="G24" s="54">
        <v>4102456.15</v>
      </c>
    </row>
    <row r="25" spans="1:7" ht="10.9" customHeight="1">
      <c r="A25" s="52" t="s">
        <v>383</v>
      </c>
      <c r="B25" s="53" t="s">
        <v>384</v>
      </c>
      <c r="C25" s="52" t="s">
        <v>26</v>
      </c>
      <c r="D25" s="53" t="s">
        <v>24</v>
      </c>
      <c r="E25" s="52" t="s">
        <v>386</v>
      </c>
      <c r="F25" s="54">
        <v>1071974.6399999999</v>
      </c>
      <c r="G25" s="54">
        <v>712441.02</v>
      </c>
    </row>
    <row r="26" spans="1:7" ht="10.9" customHeight="1">
      <c r="A26" s="52" t="s">
        <v>383</v>
      </c>
      <c r="B26" s="53" t="s">
        <v>384</v>
      </c>
      <c r="C26" s="52" t="s">
        <v>28</v>
      </c>
      <c r="D26" s="53" t="s">
        <v>27</v>
      </c>
      <c r="E26" s="52" t="s">
        <v>387</v>
      </c>
      <c r="F26" s="54">
        <v>3481523</v>
      </c>
      <c r="G26" s="54">
        <v>818208</v>
      </c>
    </row>
    <row r="27" spans="1:7" ht="10.9" customHeight="1">
      <c r="A27" s="52" t="s">
        <v>388</v>
      </c>
      <c r="B27" s="53" t="s">
        <v>389</v>
      </c>
      <c r="C27" s="52" t="s">
        <v>304</v>
      </c>
      <c r="D27" s="53" t="s">
        <v>303</v>
      </c>
      <c r="E27" s="52" t="s">
        <v>381</v>
      </c>
      <c r="F27" s="54">
        <v>24926845.370000001</v>
      </c>
      <c r="G27" s="54">
        <v>24926845.370000001</v>
      </c>
    </row>
    <row r="28" spans="1:7" ht="10.9" customHeight="1">
      <c r="A28" s="52" t="s">
        <v>388</v>
      </c>
      <c r="B28" s="53" t="s">
        <v>389</v>
      </c>
      <c r="C28" s="52" t="s">
        <v>306</v>
      </c>
      <c r="D28" s="53" t="s">
        <v>305</v>
      </c>
      <c r="E28" s="52" t="s">
        <v>390</v>
      </c>
      <c r="F28" s="54">
        <v>1115938.1399999999</v>
      </c>
      <c r="G28" s="54">
        <v>526750</v>
      </c>
    </row>
    <row r="29" spans="1:7" ht="10.9" customHeight="1">
      <c r="A29" s="52" t="s">
        <v>388</v>
      </c>
      <c r="B29" s="53" t="s">
        <v>389</v>
      </c>
      <c r="C29" s="52" t="s">
        <v>307</v>
      </c>
      <c r="D29" s="53" t="s">
        <v>305</v>
      </c>
      <c r="E29" s="52" t="s">
        <v>390</v>
      </c>
      <c r="F29" s="54">
        <v>1285715</v>
      </c>
      <c r="G29" s="54">
        <v>469988.4</v>
      </c>
    </row>
    <row r="30" spans="1:7" ht="10.9" customHeight="1">
      <c r="A30" s="52" t="s">
        <v>391</v>
      </c>
      <c r="B30" s="53" t="s">
        <v>392</v>
      </c>
      <c r="C30" s="52" t="s">
        <v>252</v>
      </c>
      <c r="D30" s="53" t="s">
        <v>251</v>
      </c>
      <c r="E30" s="52" t="s">
        <v>382</v>
      </c>
      <c r="F30" s="54">
        <v>9750000</v>
      </c>
      <c r="G30" s="54">
        <v>0</v>
      </c>
    </row>
    <row r="31" spans="1:7" ht="10.9" customHeight="1">
      <c r="A31" s="52" t="s">
        <v>393</v>
      </c>
      <c r="B31" s="53" t="s">
        <v>394</v>
      </c>
      <c r="C31" s="52" t="s">
        <v>359</v>
      </c>
      <c r="D31" s="53" t="s">
        <v>232</v>
      </c>
      <c r="E31" s="52" t="s">
        <v>395</v>
      </c>
      <c r="F31" s="54">
        <v>4566200</v>
      </c>
      <c r="G31" s="54">
        <v>4566200</v>
      </c>
    </row>
    <row r="32" spans="1:7" ht="10.9" customHeight="1">
      <c r="A32" s="52" t="s">
        <v>393</v>
      </c>
      <c r="B32" s="53" t="s">
        <v>394</v>
      </c>
      <c r="C32" s="52" t="s">
        <v>360</v>
      </c>
      <c r="D32" s="53" t="s">
        <v>235</v>
      </c>
      <c r="E32" s="52" t="s">
        <v>396</v>
      </c>
      <c r="F32" s="54">
        <v>11182200</v>
      </c>
      <c r="G32" s="54">
        <v>5589169.6500000004</v>
      </c>
    </row>
    <row r="33" spans="1:7" ht="10.9" customHeight="1">
      <c r="A33" s="52" t="s">
        <v>393</v>
      </c>
      <c r="B33" s="53" t="s">
        <v>394</v>
      </c>
      <c r="C33" s="52" t="s">
        <v>361</v>
      </c>
      <c r="D33" s="53" t="s">
        <v>237</v>
      </c>
      <c r="E33" s="52" t="s">
        <v>397</v>
      </c>
      <c r="F33" s="54">
        <v>4200000</v>
      </c>
      <c r="G33" s="54">
        <v>4197178.88</v>
      </c>
    </row>
    <row r="34" spans="1:7" ht="10.9" customHeight="1">
      <c r="A34" s="52" t="s">
        <v>393</v>
      </c>
      <c r="B34" s="53" t="s">
        <v>394</v>
      </c>
      <c r="C34" s="52" t="s">
        <v>361</v>
      </c>
      <c r="D34" s="53" t="s">
        <v>237</v>
      </c>
      <c r="E34" s="52" t="s">
        <v>396</v>
      </c>
      <c r="F34" s="54">
        <v>77258900</v>
      </c>
      <c r="G34" s="54">
        <v>44889794.299999997</v>
      </c>
    </row>
    <row r="35" spans="1:7" ht="10.9" customHeight="1">
      <c r="A35" s="52" t="s">
        <v>398</v>
      </c>
      <c r="B35" s="53" t="s">
        <v>399</v>
      </c>
      <c r="C35" s="52" t="s">
        <v>259</v>
      </c>
      <c r="D35" s="53" t="s">
        <v>257</v>
      </c>
      <c r="E35" s="52" t="s">
        <v>382</v>
      </c>
      <c r="F35" s="54">
        <v>1888568700</v>
      </c>
      <c r="G35" s="54">
        <v>1885776905.3599999</v>
      </c>
    </row>
    <row r="36" spans="1:7" ht="10.9" customHeight="1">
      <c r="A36" s="52" t="s">
        <v>398</v>
      </c>
      <c r="B36" s="53" t="s">
        <v>399</v>
      </c>
      <c r="C36" s="52" t="s">
        <v>259</v>
      </c>
      <c r="D36" s="53" t="s">
        <v>257</v>
      </c>
      <c r="E36" s="52" t="s">
        <v>400</v>
      </c>
      <c r="F36" s="54">
        <v>23000000</v>
      </c>
      <c r="G36" s="54">
        <v>22518853.989999998</v>
      </c>
    </row>
    <row r="37" spans="1:7" ht="10.9" customHeight="1">
      <c r="A37" s="52" t="s">
        <v>398</v>
      </c>
      <c r="B37" s="53" t="s">
        <v>399</v>
      </c>
      <c r="C37" s="52" t="s">
        <v>259</v>
      </c>
      <c r="D37" s="53" t="s">
        <v>257</v>
      </c>
      <c r="E37" s="52" t="s">
        <v>401</v>
      </c>
      <c r="F37" s="54">
        <v>380000000</v>
      </c>
      <c r="G37" s="54">
        <v>380000000</v>
      </c>
    </row>
    <row r="38" spans="1:7" ht="10.9" customHeight="1">
      <c r="A38" s="52" t="s">
        <v>402</v>
      </c>
      <c r="B38" s="53" t="s">
        <v>403</v>
      </c>
      <c r="C38" s="52" t="s">
        <v>209</v>
      </c>
      <c r="D38" s="53" t="s">
        <v>208</v>
      </c>
      <c r="E38" s="52" t="s">
        <v>404</v>
      </c>
      <c r="F38" s="54">
        <v>310937.15000000002</v>
      </c>
      <c r="G38" s="54">
        <v>41383.760000000002</v>
      </c>
    </row>
    <row r="39" spans="1:7" ht="10.9" customHeight="1">
      <c r="A39" s="52" t="s">
        <v>402</v>
      </c>
      <c r="B39" s="53" t="s">
        <v>403</v>
      </c>
      <c r="C39" s="52" t="s">
        <v>209</v>
      </c>
      <c r="D39" s="53" t="s">
        <v>208</v>
      </c>
      <c r="E39" s="52" t="s">
        <v>405</v>
      </c>
      <c r="F39" s="54">
        <v>95462.85</v>
      </c>
      <c r="G39" s="54">
        <v>12704.82</v>
      </c>
    </row>
    <row r="40" spans="1:7" ht="10.9" customHeight="1">
      <c r="A40" s="52" t="s">
        <v>402</v>
      </c>
      <c r="B40" s="53" t="s">
        <v>403</v>
      </c>
      <c r="C40" s="52" t="s">
        <v>209</v>
      </c>
      <c r="D40" s="53" t="s">
        <v>208</v>
      </c>
      <c r="E40" s="52" t="s">
        <v>382</v>
      </c>
      <c r="F40" s="54">
        <v>17597500</v>
      </c>
      <c r="G40" s="54">
        <v>10249988.939999999</v>
      </c>
    </row>
    <row r="41" spans="1:7" ht="10.9" customHeight="1">
      <c r="A41" s="52" t="s">
        <v>406</v>
      </c>
      <c r="B41" s="53" t="s">
        <v>407</v>
      </c>
      <c r="C41" s="52" t="s">
        <v>285</v>
      </c>
      <c r="D41" s="53" t="s">
        <v>284</v>
      </c>
      <c r="E41" s="52" t="s">
        <v>381</v>
      </c>
      <c r="F41" s="54">
        <v>16405051.550000001</v>
      </c>
      <c r="G41" s="54">
        <v>12292061.859999999</v>
      </c>
    </row>
    <row r="42" spans="1:7" ht="10.9" customHeight="1">
      <c r="A42" s="52" t="s">
        <v>406</v>
      </c>
      <c r="B42" s="53" t="s">
        <v>407</v>
      </c>
      <c r="C42" s="52" t="s">
        <v>288</v>
      </c>
      <c r="D42" s="53" t="s">
        <v>282</v>
      </c>
      <c r="E42" s="52" t="s">
        <v>408</v>
      </c>
      <c r="F42" s="54">
        <v>114390313.41</v>
      </c>
      <c r="G42" s="54">
        <v>114390309.29000001</v>
      </c>
    </row>
    <row r="43" spans="1:7" ht="10.9" customHeight="1">
      <c r="A43" s="52" t="s">
        <v>406</v>
      </c>
      <c r="B43" s="53" t="s">
        <v>407</v>
      </c>
      <c r="C43" s="52" t="s">
        <v>290</v>
      </c>
      <c r="D43" s="53" t="s">
        <v>289</v>
      </c>
      <c r="E43" s="52" t="s">
        <v>400</v>
      </c>
      <c r="F43" s="54">
        <v>10309278.35</v>
      </c>
      <c r="G43" s="54">
        <v>0</v>
      </c>
    </row>
    <row r="44" spans="1:7" ht="10.9" customHeight="1">
      <c r="A44" s="52" t="s">
        <v>406</v>
      </c>
      <c r="B44" s="53" t="s">
        <v>407</v>
      </c>
      <c r="C44" s="52" t="s">
        <v>292</v>
      </c>
      <c r="D44" s="53" t="s">
        <v>291</v>
      </c>
      <c r="E44" s="52" t="s">
        <v>381</v>
      </c>
      <c r="F44" s="54">
        <v>7628886.5899999999</v>
      </c>
      <c r="G44" s="54">
        <v>7628865.9699999997</v>
      </c>
    </row>
    <row r="45" spans="1:7" ht="10.9" customHeight="1">
      <c r="A45" s="52" t="s">
        <v>406</v>
      </c>
      <c r="B45" s="53" t="s">
        <v>407</v>
      </c>
      <c r="C45" s="52" t="s">
        <v>294</v>
      </c>
      <c r="D45" s="53" t="s">
        <v>293</v>
      </c>
      <c r="E45" s="52" t="s">
        <v>381</v>
      </c>
      <c r="F45" s="54">
        <v>28124845.359999999</v>
      </c>
      <c r="G45" s="54">
        <v>28124845.359999999</v>
      </c>
    </row>
    <row r="46" spans="1:7" ht="10.9" customHeight="1">
      <c r="A46" s="52" t="s">
        <v>406</v>
      </c>
      <c r="B46" s="53" t="s">
        <v>407</v>
      </c>
      <c r="C46" s="52" t="s">
        <v>297</v>
      </c>
      <c r="D46" s="53" t="s">
        <v>282</v>
      </c>
      <c r="E46" s="52" t="s">
        <v>408</v>
      </c>
      <c r="F46" s="54">
        <v>9090412.3699999992</v>
      </c>
      <c r="G46" s="54">
        <v>9090412.3699999992</v>
      </c>
    </row>
    <row r="47" spans="1:7" ht="10.9" customHeight="1">
      <c r="A47" s="52" t="s">
        <v>406</v>
      </c>
      <c r="B47" s="53" t="s">
        <v>407</v>
      </c>
      <c r="C47" s="52" t="s">
        <v>313</v>
      </c>
      <c r="D47" s="53" t="s">
        <v>312</v>
      </c>
      <c r="E47" s="52" t="s">
        <v>408</v>
      </c>
      <c r="F47" s="54">
        <v>26875800</v>
      </c>
      <c r="G47" s="54">
        <v>7000000</v>
      </c>
    </row>
    <row r="48" spans="1:7" ht="10.9" customHeight="1">
      <c r="A48" s="52" t="s">
        <v>409</v>
      </c>
      <c r="B48" s="53" t="s">
        <v>410</v>
      </c>
      <c r="C48" s="52" t="s">
        <v>337</v>
      </c>
      <c r="D48" s="53" t="s">
        <v>336</v>
      </c>
      <c r="E48" s="52" t="s">
        <v>411</v>
      </c>
      <c r="F48" s="54">
        <v>507753200</v>
      </c>
      <c r="G48" s="54">
        <v>22134449.379999999</v>
      </c>
    </row>
    <row r="49" spans="1:7" ht="10.9" customHeight="1">
      <c r="A49" s="52" t="s">
        <v>409</v>
      </c>
      <c r="B49" s="53" t="s">
        <v>410</v>
      </c>
      <c r="C49" s="52" t="s">
        <v>339</v>
      </c>
      <c r="D49" s="53" t="s">
        <v>338</v>
      </c>
      <c r="E49" s="52" t="s">
        <v>411</v>
      </c>
      <c r="F49" s="54">
        <v>15703707.220000001</v>
      </c>
      <c r="G49" s="54">
        <v>684570.6</v>
      </c>
    </row>
    <row r="50" spans="1:7" ht="10.9" customHeight="1">
      <c r="A50" s="52" t="s">
        <v>412</v>
      </c>
      <c r="B50" s="53" t="s">
        <v>413</v>
      </c>
      <c r="C50" s="52" t="s">
        <v>248</v>
      </c>
      <c r="D50" s="53" t="s">
        <v>246</v>
      </c>
      <c r="E50" s="52" t="s">
        <v>414</v>
      </c>
      <c r="F50" s="54">
        <v>10000000</v>
      </c>
      <c r="G50" s="54">
        <v>0</v>
      </c>
    </row>
    <row r="51" spans="1:7" ht="10.9" customHeight="1">
      <c r="A51" s="52" t="s">
        <v>412</v>
      </c>
      <c r="B51" s="53" t="s">
        <v>413</v>
      </c>
      <c r="C51" s="52" t="s">
        <v>243</v>
      </c>
      <c r="D51" s="53" t="s">
        <v>241</v>
      </c>
      <c r="E51" s="52" t="s">
        <v>415</v>
      </c>
      <c r="F51" s="54">
        <v>46603700</v>
      </c>
      <c r="G51" s="54">
        <v>4047716.07</v>
      </c>
    </row>
    <row r="52" spans="1:7" ht="10.9" customHeight="1">
      <c r="A52" s="52" t="s">
        <v>416</v>
      </c>
      <c r="B52" s="53" t="s">
        <v>417</v>
      </c>
      <c r="C52" s="52" t="s">
        <v>215</v>
      </c>
      <c r="D52" s="53" t="s">
        <v>214</v>
      </c>
      <c r="E52" s="52" t="s">
        <v>400</v>
      </c>
      <c r="F52" s="54">
        <v>425468000</v>
      </c>
      <c r="G52" s="54">
        <v>204838021.18000001</v>
      </c>
    </row>
    <row r="53" spans="1:7" ht="10.9" customHeight="1">
      <c r="A53" s="52" t="s">
        <v>418</v>
      </c>
      <c r="B53" s="53" t="s">
        <v>419</v>
      </c>
      <c r="C53" s="52" t="s">
        <v>217</v>
      </c>
      <c r="D53" s="53" t="s">
        <v>216</v>
      </c>
      <c r="E53" s="52" t="s">
        <v>401</v>
      </c>
      <c r="F53" s="54">
        <v>40000000</v>
      </c>
      <c r="G53" s="54">
        <v>0</v>
      </c>
    </row>
    <row r="54" spans="1:7" ht="10.9" customHeight="1">
      <c r="A54" s="52" t="s">
        <v>420</v>
      </c>
      <c r="B54" s="53" t="s">
        <v>421</v>
      </c>
      <c r="C54" s="52" t="s">
        <v>61</v>
      </c>
      <c r="D54" s="53" t="s">
        <v>60</v>
      </c>
      <c r="E54" s="52" t="s">
        <v>401</v>
      </c>
      <c r="F54" s="54">
        <v>413107900</v>
      </c>
      <c r="G54" s="54">
        <v>0</v>
      </c>
    </row>
    <row r="55" spans="1:7" ht="10.9" customHeight="1">
      <c r="A55" s="52" t="s">
        <v>420</v>
      </c>
      <c r="B55" s="53" t="s">
        <v>421</v>
      </c>
      <c r="C55" s="52" t="s">
        <v>63</v>
      </c>
      <c r="D55" s="53" t="s">
        <v>62</v>
      </c>
      <c r="E55" s="52" t="s">
        <v>415</v>
      </c>
      <c r="F55" s="54">
        <v>806364100</v>
      </c>
      <c r="G55" s="54">
        <v>0</v>
      </c>
    </row>
    <row r="56" spans="1:7" ht="10.9" customHeight="1">
      <c r="A56" s="52" t="s">
        <v>422</v>
      </c>
      <c r="B56" s="53" t="s">
        <v>423</v>
      </c>
      <c r="C56" s="52" t="s">
        <v>123</v>
      </c>
      <c r="D56" s="53" t="s">
        <v>121</v>
      </c>
      <c r="E56" s="52" t="s">
        <v>400</v>
      </c>
      <c r="F56" s="54">
        <v>46409300</v>
      </c>
      <c r="G56" s="54">
        <v>12068642.77</v>
      </c>
    </row>
    <row r="57" spans="1:7" ht="10.9" customHeight="1">
      <c r="A57" s="52" t="s">
        <v>422</v>
      </c>
      <c r="B57" s="53" t="s">
        <v>423</v>
      </c>
      <c r="C57" s="52" t="s">
        <v>134</v>
      </c>
      <c r="D57" s="53" t="s">
        <v>133</v>
      </c>
      <c r="E57" s="52" t="s">
        <v>400</v>
      </c>
      <c r="F57" s="54">
        <v>27001700</v>
      </c>
      <c r="G57" s="54">
        <v>470640</v>
      </c>
    </row>
    <row r="58" spans="1:7" ht="10.9" customHeight="1">
      <c r="A58" s="52" t="s">
        <v>422</v>
      </c>
      <c r="B58" s="53" t="s">
        <v>423</v>
      </c>
      <c r="C58" s="52" t="s">
        <v>138</v>
      </c>
      <c r="D58" s="53" t="s">
        <v>137</v>
      </c>
      <c r="E58" s="52" t="s">
        <v>400</v>
      </c>
      <c r="F58" s="54">
        <v>6249900</v>
      </c>
      <c r="G58" s="54">
        <v>5729100</v>
      </c>
    </row>
    <row r="59" spans="1:7" ht="10.9" customHeight="1">
      <c r="A59" s="52" t="s">
        <v>422</v>
      </c>
      <c r="B59" s="53" t="s">
        <v>423</v>
      </c>
      <c r="C59" s="52" t="s">
        <v>144</v>
      </c>
      <c r="D59" s="53" t="s">
        <v>143</v>
      </c>
      <c r="E59" s="52" t="s">
        <v>400</v>
      </c>
      <c r="F59" s="54">
        <v>13231400</v>
      </c>
      <c r="G59" s="54">
        <v>5983749.0599999996</v>
      </c>
    </row>
    <row r="60" spans="1:7" ht="10.9" customHeight="1">
      <c r="A60" s="52" t="s">
        <v>422</v>
      </c>
      <c r="B60" s="53" t="s">
        <v>423</v>
      </c>
      <c r="C60" s="52" t="s">
        <v>125</v>
      </c>
      <c r="D60" s="53" t="s">
        <v>365</v>
      </c>
      <c r="E60" s="52" t="s">
        <v>415</v>
      </c>
      <c r="F60" s="54">
        <v>99281340.209999993</v>
      </c>
      <c r="G60" s="54">
        <v>0</v>
      </c>
    </row>
    <row r="61" spans="1:7" ht="10.9" customHeight="1">
      <c r="A61" s="52" t="s">
        <v>422</v>
      </c>
      <c r="B61" s="53" t="s">
        <v>423</v>
      </c>
      <c r="C61" s="52" t="s">
        <v>125</v>
      </c>
      <c r="D61" s="53" t="s">
        <v>365</v>
      </c>
      <c r="E61" s="52" t="s">
        <v>397</v>
      </c>
      <c r="F61" s="54">
        <v>8660000</v>
      </c>
      <c r="G61" s="54">
        <v>0</v>
      </c>
    </row>
    <row r="62" spans="1:7" ht="10.9" customHeight="1">
      <c r="A62" s="52" t="s">
        <v>422</v>
      </c>
      <c r="B62" s="53" t="s">
        <v>423</v>
      </c>
      <c r="C62" s="52" t="s">
        <v>128</v>
      </c>
      <c r="D62" s="53" t="s">
        <v>342</v>
      </c>
      <c r="E62" s="52" t="s">
        <v>415</v>
      </c>
      <c r="F62" s="54">
        <v>1081408700</v>
      </c>
      <c r="G62" s="54">
        <v>1081408700</v>
      </c>
    </row>
    <row r="63" spans="1:7" ht="10.9" customHeight="1">
      <c r="A63" s="52" t="s">
        <v>422</v>
      </c>
      <c r="B63" s="53" t="s">
        <v>423</v>
      </c>
      <c r="C63" s="52" t="s">
        <v>130</v>
      </c>
      <c r="D63" s="53" t="s">
        <v>129</v>
      </c>
      <c r="E63" s="52" t="s">
        <v>400</v>
      </c>
      <c r="F63" s="54">
        <v>37500000</v>
      </c>
      <c r="G63" s="54">
        <v>37500000</v>
      </c>
    </row>
    <row r="64" spans="1:7" ht="10.9" customHeight="1">
      <c r="A64" s="52" t="s">
        <v>424</v>
      </c>
      <c r="B64" s="53" t="s">
        <v>425</v>
      </c>
      <c r="C64" s="52" t="s">
        <v>329</v>
      </c>
      <c r="D64" s="53" t="s">
        <v>330</v>
      </c>
      <c r="E64" s="52" t="s">
        <v>401</v>
      </c>
      <c r="F64" s="54">
        <v>244898</v>
      </c>
      <c r="G64" s="54">
        <v>0</v>
      </c>
    </row>
    <row r="65" spans="1:7" ht="10.9" customHeight="1">
      <c r="A65" s="52" t="s">
        <v>424</v>
      </c>
      <c r="B65" s="53" t="s">
        <v>425</v>
      </c>
      <c r="C65" s="52" t="s">
        <v>148</v>
      </c>
      <c r="D65" s="53" t="s">
        <v>147</v>
      </c>
      <c r="E65" s="52" t="s">
        <v>397</v>
      </c>
      <c r="F65" s="54">
        <v>8643500</v>
      </c>
      <c r="G65" s="54">
        <v>4061328.67</v>
      </c>
    </row>
    <row r="66" spans="1:7" ht="10.9" customHeight="1">
      <c r="A66" s="52" t="s">
        <v>424</v>
      </c>
      <c r="B66" s="53" t="s">
        <v>425</v>
      </c>
      <c r="C66" s="52" t="s">
        <v>148</v>
      </c>
      <c r="D66" s="53" t="s">
        <v>147</v>
      </c>
      <c r="E66" s="52" t="s">
        <v>408</v>
      </c>
      <c r="F66" s="54">
        <v>26821000</v>
      </c>
      <c r="G66" s="54">
        <v>22163236.800000001</v>
      </c>
    </row>
    <row r="67" spans="1:7" ht="10.9" customHeight="1">
      <c r="A67" s="52" t="s">
        <v>424</v>
      </c>
      <c r="B67" s="53" t="s">
        <v>425</v>
      </c>
      <c r="C67" s="52" t="s">
        <v>150</v>
      </c>
      <c r="D67" s="53" t="s">
        <v>149</v>
      </c>
      <c r="E67" s="52" t="s">
        <v>400</v>
      </c>
      <c r="F67" s="54">
        <v>10720000</v>
      </c>
      <c r="G67" s="54">
        <v>7260200</v>
      </c>
    </row>
    <row r="68" spans="1:7" ht="10.9" customHeight="1">
      <c r="A68" s="52" t="s">
        <v>424</v>
      </c>
      <c r="B68" s="53" t="s">
        <v>425</v>
      </c>
      <c r="C68" s="52" t="s">
        <v>152</v>
      </c>
      <c r="D68" s="53" t="s">
        <v>356</v>
      </c>
      <c r="E68" s="52" t="s">
        <v>426</v>
      </c>
      <c r="F68" s="54">
        <v>5020500</v>
      </c>
      <c r="G68" s="54">
        <v>5015100</v>
      </c>
    </row>
    <row r="69" spans="1:7" ht="10.9" customHeight="1">
      <c r="A69" s="52" t="s">
        <v>427</v>
      </c>
      <c r="B69" s="53" t="s">
        <v>428</v>
      </c>
      <c r="C69" s="52" t="s">
        <v>313</v>
      </c>
      <c r="D69" s="53" t="s">
        <v>312</v>
      </c>
      <c r="E69" s="52" t="s">
        <v>397</v>
      </c>
      <c r="F69" s="54">
        <v>4500000</v>
      </c>
      <c r="G69" s="54">
        <v>0</v>
      </c>
    </row>
    <row r="70" spans="1:7" ht="10.9" customHeight="1">
      <c r="A70" s="52" t="s">
        <v>427</v>
      </c>
      <c r="B70" s="53" t="s">
        <v>428</v>
      </c>
      <c r="C70" s="52" t="s">
        <v>316</v>
      </c>
      <c r="D70" s="53" t="s">
        <v>314</v>
      </c>
      <c r="E70" s="52" t="s">
        <v>397</v>
      </c>
      <c r="F70" s="54">
        <v>6900000</v>
      </c>
      <c r="G70" s="54">
        <v>6900000</v>
      </c>
    </row>
    <row r="71" spans="1:7" ht="10.9" customHeight="1">
      <c r="A71" s="52" t="s">
        <v>427</v>
      </c>
      <c r="B71" s="53" t="s">
        <v>428</v>
      </c>
      <c r="C71" s="52" t="s">
        <v>136</v>
      </c>
      <c r="D71" s="53" t="s">
        <v>133</v>
      </c>
      <c r="E71" s="52" t="s">
        <v>397</v>
      </c>
      <c r="F71" s="54">
        <v>4432989.8099999996</v>
      </c>
      <c r="G71" s="54">
        <v>4432989.8099999996</v>
      </c>
    </row>
    <row r="72" spans="1:7" ht="10.9" customHeight="1">
      <c r="A72" s="52" t="s">
        <v>427</v>
      </c>
      <c r="B72" s="53" t="s">
        <v>428</v>
      </c>
      <c r="C72" s="52" t="s">
        <v>140</v>
      </c>
      <c r="D72" s="53" t="s">
        <v>139</v>
      </c>
      <c r="E72" s="52" t="s">
        <v>390</v>
      </c>
      <c r="F72" s="54">
        <v>250000</v>
      </c>
      <c r="G72" s="54">
        <v>205000</v>
      </c>
    </row>
    <row r="73" spans="1:7" ht="10.9" customHeight="1">
      <c r="A73" s="52" t="s">
        <v>427</v>
      </c>
      <c r="B73" s="53" t="s">
        <v>428</v>
      </c>
      <c r="C73" s="52" t="s">
        <v>158</v>
      </c>
      <c r="D73" s="53" t="s">
        <v>157</v>
      </c>
      <c r="E73" s="52" t="s">
        <v>397</v>
      </c>
      <c r="F73" s="54">
        <v>55767630</v>
      </c>
      <c r="G73" s="54">
        <v>39712488.799999997</v>
      </c>
    </row>
    <row r="74" spans="1:7" ht="10.9" customHeight="1">
      <c r="A74" s="52" t="s">
        <v>427</v>
      </c>
      <c r="B74" s="53" t="s">
        <v>428</v>
      </c>
      <c r="C74" s="52" t="s">
        <v>163</v>
      </c>
      <c r="D74" s="53" t="s">
        <v>159</v>
      </c>
      <c r="E74" s="52" t="s">
        <v>397</v>
      </c>
      <c r="F74" s="54">
        <v>8907100</v>
      </c>
      <c r="G74" s="54">
        <v>4876814.83</v>
      </c>
    </row>
    <row r="75" spans="1:7" ht="10.9" customHeight="1">
      <c r="A75" s="52" t="s">
        <v>427</v>
      </c>
      <c r="B75" s="53" t="s">
        <v>428</v>
      </c>
      <c r="C75" s="52" t="s">
        <v>165</v>
      </c>
      <c r="D75" s="53" t="s">
        <v>164</v>
      </c>
      <c r="E75" s="52" t="s">
        <v>397</v>
      </c>
      <c r="F75" s="54">
        <v>3840000</v>
      </c>
      <c r="G75" s="54">
        <v>3840000</v>
      </c>
    </row>
    <row r="76" spans="1:7" ht="10.9" customHeight="1">
      <c r="A76" s="52" t="s">
        <v>427</v>
      </c>
      <c r="B76" s="53" t="s">
        <v>428</v>
      </c>
      <c r="C76" s="52" t="s">
        <v>167</v>
      </c>
      <c r="D76" s="53" t="s">
        <v>166</v>
      </c>
      <c r="E76" s="52" t="s">
        <v>397</v>
      </c>
      <c r="F76" s="54">
        <v>280000</v>
      </c>
      <c r="G76" s="54">
        <v>92634</v>
      </c>
    </row>
    <row r="77" spans="1:7" ht="10.9" customHeight="1">
      <c r="A77" s="52" t="s">
        <v>427</v>
      </c>
      <c r="B77" s="53" t="s">
        <v>428</v>
      </c>
      <c r="C77" s="52" t="s">
        <v>169</v>
      </c>
      <c r="D77" s="53" t="s">
        <v>168</v>
      </c>
      <c r="E77" s="52" t="s">
        <v>397</v>
      </c>
      <c r="F77" s="54">
        <v>4550000</v>
      </c>
      <c r="G77" s="54">
        <v>4053960.56</v>
      </c>
    </row>
    <row r="78" spans="1:7" ht="10.9" customHeight="1">
      <c r="A78" s="52" t="s">
        <v>429</v>
      </c>
      <c r="B78" s="53" t="s">
        <v>430</v>
      </c>
      <c r="C78" s="52" t="s">
        <v>181</v>
      </c>
      <c r="D78" s="53" t="s">
        <v>180</v>
      </c>
      <c r="E78" s="52" t="s">
        <v>397</v>
      </c>
      <c r="F78" s="54">
        <v>5000000</v>
      </c>
      <c r="G78" s="54">
        <v>5000000</v>
      </c>
    </row>
    <row r="79" spans="1:7" ht="10.9" customHeight="1">
      <c r="A79" s="52" t="s">
        <v>429</v>
      </c>
      <c r="B79" s="53" t="s">
        <v>430</v>
      </c>
      <c r="C79" s="52" t="s">
        <v>175</v>
      </c>
      <c r="D79" s="53" t="s">
        <v>174</v>
      </c>
      <c r="E79" s="52" t="s">
        <v>397</v>
      </c>
      <c r="F79" s="54">
        <v>1066000</v>
      </c>
      <c r="G79" s="54">
        <v>701375.16</v>
      </c>
    </row>
    <row r="80" spans="1:7" ht="10.9" customHeight="1">
      <c r="A80" s="52" t="s">
        <v>431</v>
      </c>
      <c r="B80" s="53" t="s">
        <v>432</v>
      </c>
      <c r="C80" s="52" t="s">
        <v>331</v>
      </c>
      <c r="D80" s="53" t="s">
        <v>332</v>
      </c>
      <c r="E80" s="52" t="s">
        <v>401</v>
      </c>
      <c r="F80" s="54">
        <v>61225</v>
      </c>
      <c r="G80" s="54">
        <v>0</v>
      </c>
    </row>
    <row r="81" spans="1:7" ht="10.9" customHeight="1">
      <c r="A81" s="52" t="s">
        <v>431</v>
      </c>
      <c r="B81" s="53" t="s">
        <v>432</v>
      </c>
      <c r="C81" s="52" t="s">
        <v>146</v>
      </c>
      <c r="D81" s="53" t="s">
        <v>145</v>
      </c>
      <c r="E81" s="52" t="s">
        <v>397</v>
      </c>
      <c r="F81" s="54">
        <v>30000000</v>
      </c>
      <c r="G81" s="54">
        <v>13632130.699999999</v>
      </c>
    </row>
    <row r="82" spans="1:7" ht="10.9" customHeight="1">
      <c r="A82" s="52" t="s">
        <v>433</v>
      </c>
      <c r="B82" s="53" t="s">
        <v>434</v>
      </c>
      <c r="C82" s="52" t="s">
        <v>267</v>
      </c>
      <c r="D82" s="53" t="s">
        <v>344</v>
      </c>
      <c r="E82" s="52" t="s">
        <v>401</v>
      </c>
      <c r="F82" s="54">
        <v>40000000</v>
      </c>
      <c r="G82" s="54">
        <v>35490761.890000001</v>
      </c>
    </row>
    <row r="83" spans="1:7" ht="10.9" customHeight="1">
      <c r="A83" s="52" t="s">
        <v>433</v>
      </c>
      <c r="B83" s="53" t="s">
        <v>434</v>
      </c>
      <c r="C83" s="52" t="s">
        <v>266</v>
      </c>
      <c r="D83" s="53" t="s">
        <v>357</v>
      </c>
      <c r="E83" s="52" t="s">
        <v>400</v>
      </c>
      <c r="F83" s="54">
        <v>45731200</v>
      </c>
      <c r="G83" s="54">
        <v>15417020.779999999</v>
      </c>
    </row>
    <row r="84" spans="1:7" ht="10.9" customHeight="1">
      <c r="A84" s="52" t="s">
        <v>433</v>
      </c>
      <c r="B84" s="53" t="s">
        <v>434</v>
      </c>
      <c r="C84" s="52" t="s">
        <v>275</v>
      </c>
      <c r="D84" s="53" t="s">
        <v>274</v>
      </c>
      <c r="E84" s="52" t="s">
        <v>396</v>
      </c>
      <c r="F84" s="54">
        <v>11658910</v>
      </c>
      <c r="G84" s="54">
        <v>11658907.67</v>
      </c>
    </row>
    <row r="85" spans="1:7" ht="10.9" customHeight="1">
      <c r="A85" s="52" t="s">
        <v>433</v>
      </c>
      <c r="B85" s="53" t="s">
        <v>434</v>
      </c>
      <c r="C85" s="52" t="s">
        <v>277</v>
      </c>
      <c r="D85" s="53" t="s">
        <v>276</v>
      </c>
      <c r="E85" s="52" t="s">
        <v>396</v>
      </c>
      <c r="F85" s="54">
        <v>26500000</v>
      </c>
      <c r="G85" s="54">
        <v>26078863.469999999</v>
      </c>
    </row>
    <row r="86" spans="1:7" ht="10.9" customHeight="1">
      <c r="A86" s="52" t="s">
        <v>433</v>
      </c>
      <c r="B86" s="53" t="s">
        <v>434</v>
      </c>
      <c r="C86" s="52" t="s">
        <v>271</v>
      </c>
      <c r="D86" s="53" t="s">
        <v>358</v>
      </c>
      <c r="E86" s="52" t="s">
        <v>401</v>
      </c>
      <c r="F86" s="54">
        <v>7560000</v>
      </c>
      <c r="G86" s="54">
        <v>7560000</v>
      </c>
    </row>
    <row r="87" spans="1:7" ht="10.9" customHeight="1">
      <c r="A87" s="52" t="s">
        <v>433</v>
      </c>
      <c r="B87" s="53" t="s">
        <v>434</v>
      </c>
      <c r="C87" s="52" t="s">
        <v>271</v>
      </c>
      <c r="D87" s="53" t="s">
        <v>358</v>
      </c>
      <c r="E87" s="52" t="s">
        <v>396</v>
      </c>
      <c r="F87" s="54">
        <v>980000</v>
      </c>
      <c r="G87" s="54">
        <v>980000</v>
      </c>
    </row>
    <row r="88" spans="1:7" ht="10.9" customHeight="1">
      <c r="A88" s="52" t="s">
        <v>435</v>
      </c>
      <c r="B88" s="53" t="s">
        <v>436</v>
      </c>
      <c r="C88" s="52" t="s">
        <v>94</v>
      </c>
      <c r="D88" s="53" t="s">
        <v>93</v>
      </c>
      <c r="E88" s="52" t="s">
        <v>396</v>
      </c>
      <c r="F88" s="54">
        <v>74552500</v>
      </c>
      <c r="G88" s="54">
        <v>6517000</v>
      </c>
    </row>
    <row r="89" spans="1:7" ht="10.9" customHeight="1">
      <c r="A89" s="52" t="s">
        <v>435</v>
      </c>
      <c r="B89" s="53" t="s">
        <v>436</v>
      </c>
      <c r="C89" s="52" t="s">
        <v>112</v>
      </c>
      <c r="D89" s="55" t="s">
        <v>111</v>
      </c>
      <c r="E89" s="52" t="s">
        <v>396</v>
      </c>
      <c r="F89" s="54">
        <v>223067600</v>
      </c>
      <c r="G89" s="54">
        <v>169746160</v>
      </c>
    </row>
    <row r="90" spans="1:7" ht="10.9" customHeight="1">
      <c r="A90" s="52" t="s">
        <v>435</v>
      </c>
      <c r="B90" s="53" t="s">
        <v>436</v>
      </c>
      <c r="C90" s="52" t="s">
        <v>114</v>
      </c>
      <c r="D90" s="53" t="s">
        <v>354</v>
      </c>
      <c r="E90" s="52" t="s">
        <v>414</v>
      </c>
      <c r="F90" s="54">
        <v>385911200</v>
      </c>
      <c r="G90" s="54">
        <v>65986213.75</v>
      </c>
    </row>
    <row r="91" spans="1:7" ht="10.9" customHeight="1">
      <c r="A91" s="52" t="s">
        <v>437</v>
      </c>
      <c r="B91" s="53" t="s">
        <v>438</v>
      </c>
      <c r="C91" s="52" t="s">
        <v>86</v>
      </c>
      <c r="D91" s="53" t="s">
        <v>85</v>
      </c>
      <c r="E91" s="52" t="s">
        <v>390</v>
      </c>
      <c r="F91" s="54">
        <v>6000000</v>
      </c>
      <c r="G91" s="54">
        <v>6000000</v>
      </c>
    </row>
    <row r="92" spans="1:7" ht="10.9" customHeight="1">
      <c r="A92" s="52" t="s">
        <v>437</v>
      </c>
      <c r="B92" s="53" t="s">
        <v>438</v>
      </c>
      <c r="C92" s="52" t="s">
        <v>82</v>
      </c>
      <c r="D92" s="53" t="s">
        <v>81</v>
      </c>
      <c r="E92" s="52" t="s">
        <v>397</v>
      </c>
      <c r="F92" s="54">
        <v>21521000</v>
      </c>
      <c r="G92" s="54">
        <v>12936800</v>
      </c>
    </row>
    <row r="93" spans="1:7" ht="10.9" customHeight="1">
      <c r="A93" s="52" t="s">
        <v>437</v>
      </c>
      <c r="B93" s="53" t="s">
        <v>438</v>
      </c>
      <c r="C93" s="52" t="s">
        <v>96</v>
      </c>
      <c r="D93" s="53" t="s">
        <v>95</v>
      </c>
      <c r="E93" s="52" t="s">
        <v>390</v>
      </c>
      <c r="F93" s="54">
        <v>5500000</v>
      </c>
      <c r="G93" s="54">
        <v>4686478.53</v>
      </c>
    </row>
    <row r="94" spans="1:7" ht="10.9" customHeight="1">
      <c r="A94" s="52" t="s">
        <v>437</v>
      </c>
      <c r="B94" s="53" t="s">
        <v>438</v>
      </c>
      <c r="C94" s="52" t="s">
        <v>102</v>
      </c>
      <c r="D94" s="53" t="s">
        <v>101</v>
      </c>
      <c r="E94" s="52" t="s">
        <v>390</v>
      </c>
      <c r="F94" s="54">
        <v>2500000</v>
      </c>
      <c r="G94" s="54">
        <v>2149421.4700000002</v>
      </c>
    </row>
    <row r="95" spans="1:7" ht="10.9" customHeight="1">
      <c r="A95" s="52" t="s">
        <v>437</v>
      </c>
      <c r="B95" s="53" t="s">
        <v>438</v>
      </c>
      <c r="C95" s="52" t="s">
        <v>74</v>
      </c>
      <c r="D95" s="53" t="s">
        <v>73</v>
      </c>
      <c r="E95" s="52" t="s">
        <v>390</v>
      </c>
      <c r="F95" s="54">
        <v>3700000</v>
      </c>
      <c r="G95" s="54">
        <v>3519623.48</v>
      </c>
    </row>
    <row r="96" spans="1:7" ht="10.9" customHeight="1">
      <c r="A96" s="52" t="s">
        <v>437</v>
      </c>
      <c r="B96" s="53" t="s">
        <v>438</v>
      </c>
      <c r="C96" s="52" t="s">
        <v>100</v>
      </c>
      <c r="D96" s="53" t="s">
        <v>99</v>
      </c>
      <c r="E96" s="52" t="s">
        <v>397</v>
      </c>
      <c r="F96" s="54">
        <v>52453300</v>
      </c>
      <c r="G96" s="54">
        <v>18906742.5</v>
      </c>
    </row>
    <row r="97" spans="1:7" ht="10.9" customHeight="1">
      <c r="A97" s="52" t="s">
        <v>437</v>
      </c>
      <c r="B97" s="53" t="s">
        <v>438</v>
      </c>
      <c r="C97" s="52" t="s">
        <v>100</v>
      </c>
      <c r="D97" s="53" t="s">
        <v>99</v>
      </c>
      <c r="E97" s="52" t="s">
        <v>396</v>
      </c>
      <c r="F97" s="54">
        <v>51251100</v>
      </c>
      <c r="G97" s="54">
        <v>20833156.780000001</v>
      </c>
    </row>
    <row r="98" spans="1:7" ht="10.9" customHeight="1">
      <c r="A98" s="52" t="s">
        <v>439</v>
      </c>
      <c r="B98" s="53" t="s">
        <v>440</v>
      </c>
      <c r="C98" s="52" t="s">
        <v>84</v>
      </c>
      <c r="D98" s="53" t="s">
        <v>83</v>
      </c>
      <c r="E98" s="52" t="s">
        <v>395</v>
      </c>
      <c r="F98" s="54">
        <v>150000000</v>
      </c>
      <c r="G98" s="54">
        <v>150000000</v>
      </c>
    </row>
    <row r="99" spans="1:7" ht="10.9" customHeight="1">
      <c r="A99" s="52" t="s">
        <v>439</v>
      </c>
      <c r="B99" s="53" t="s">
        <v>440</v>
      </c>
      <c r="C99" s="52" t="s">
        <v>88</v>
      </c>
      <c r="D99" s="53" t="s">
        <v>87</v>
      </c>
      <c r="E99" s="52" t="s">
        <v>395</v>
      </c>
      <c r="F99" s="54">
        <v>102804800</v>
      </c>
      <c r="G99" s="54">
        <v>102804800</v>
      </c>
    </row>
    <row r="100" spans="1:7" ht="10.9" customHeight="1">
      <c r="A100" s="52" t="s">
        <v>441</v>
      </c>
      <c r="B100" s="53" t="s">
        <v>442</v>
      </c>
      <c r="C100" s="52" t="s">
        <v>33</v>
      </c>
      <c r="D100" s="53" t="s">
        <v>32</v>
      </c>
      <c r="E100" s="52" t="s">
        <v>382</v>
      </c>
      <c r="F100" s="54">
        <v>1634400</v>
      </c>
      <c r="G100" s="54">
        <v>1625490.79</v>
      </c>
    </row>
    <row r="101" spans="1:7" ht="10.9" customHeight="1">
      <c r="A101" s="52" t="s">
        <v>443</v>
      </c>
      <c r="B101" s="53" t="s">
        <v>444</v>
      </c>
      <c r="C101" s="52" t="s">
        <v>90</v>
      </c>
      <c r="D101" s="53" t="s">
        <v>89</v>
      </c>
      <c r="E101" s="52" t="s">
        <v>390</v>
      </c>
      <c r="F101" s="54">
        <v>1900000</v>
      </c>
      <c r="G101" s="54">
        <v>1520000</v>
      </c>
    </row>
    <row r="102" spans="1:7" ht="10.9" customHeight="1">
      <c r="A102" s="52" t="s">
        <v>443</v>
      </c>
      <c r="B102" s="53" t="s">
        <v>444</v>
      </c>
      <c r="C102" s="52" t="s">
        <v>106</v>
      </c>
      <c r="D102" s="53" t="s">
        <v>105</v>
      </c>
      <c r="E102" s="52" t="s">
        <v>382</v>
      </c>
      <c r="F102" s="54">
        <v>69162000</v>
      </c>
      <c r="G102" s="54">
        <v>0</v>
      </c>
    </row>
    <row r="103" spans="1:7" ht="10.9" customHeight="1">
      <c r="A103" s="52" t="s">
        <v>443</v>
      </c>
      <c r="B103" s="53" t="s">
        <v>444</v>
      </c>
      <c r="C103" s="52" t="s">
        <v>106</v>
      </c>
      <c r="D103" s="53" t="s">
        <v>105</v>
      </c>
      <c r="E103" s="52" t="s">
        <v>397</v>
      </c>
      <c r="F103" s="54">
        <v>61000000</v>
      </c>
      <c r="G103" s="54">
        <v>0</v>
      </c>
    </row>
    <row r="104" spans="1:7" ht="10.9" customHeight="1">
      <c r="A104" s="52" t="s">
        <v>443</v>
      </c>
      <c r="B104" s="53" t="s">
        <v>444</v>
      </c>
      <c r="C104" s="52" t="s">
        <v>108</v>
      </c>
      <c r="D104" s="53" t="s">
        <v>107</v>
      </c>
      <c r="E104" s="52" t="s">
        <v>390</v>
      </c>
      <c r="F104" s="54">
        <v>8500000</v>
      </c>
      <c r="G104" s="54">
        <v>7000000</v>
      </c>
    </row>
    <row r="105" spans="1:7" ht="10.9" customHeight="1">
      <c r="A105" s="52" t="s">
        <v>445</v>
      </c>
      <c r="B105" s="53" t="s">
        <v>446</v>
      </c>
      <c r="C105" s="52" t="s">
        <v>68</v>
      </c>
      <c r="D105" s="53" t="s">
        <v>67</v>
      </c>
      <c r="E105" s="52" t="s">
        <v>404</v>
      </c>
      <c r="F105" s="54">
        <v>4237923</v>
      </c>
      <c r="G105" s="54">
        <v>816874.04</v>
      </c>
    </row>
    <row r="106" spans="1:7" ht="10.9" customHeight="1">
      <c r="A106" s="52" t="s">
        <v>445</v>
      </c>
      <c r="B106" s="53" t="s">
        <v>446</v>
      </c>
      <c r="C106" s="52" t="s">
        <v>68</v>
      </c>
      <c r="D106" s="53" t="s">
        <v>67</v>
      </c>
      <c r="E106" s="52" t="s">
        <v>405</v>
      </c>
      <c r="F106" s="54">
        <v>1280207</v>
      </c>
      <c r="G106" s="54">
        <v>85125.96</v>
      </c>
    </row>
    <row r="107" spans="1:7" ht="10.9" customHeight="1">
      <c r="A107" s="52" t="s">
        <v>445</v>
      </c>
      <c r="B107" s="53" t="s">
        <v>446</v>
      </c>
      <c r="C107" s="52" t="s">
        <v>37</v>
      </c>
      <c r="D107" s="53" t="s">
        <v>35</v>
      </c>
      <c r="E107" s="52" t="s">
        <v>414</v>
      </c>
      <c r="F107" s="54">
        <v>292352100</v>
      </c>
      <c r="G107" s="54">
        <v>118130830.86</v>
      </c>
    </row>
    <row r="108" spans="1:7" ht="10.9" customHeight="1">
      <c r="A108" s="52" t="s">
        <v>445</v>
      </c>
      <c r="B108" s="53" t="s">
        <v>446</v>
      </c>
      <c r="C108" s="52" t="s">
        <v>40</v>
      </c>
      <c r="D108" s="53" t="s">
        <v>38</v>
      </c>
      <c r="E108" s="52" t="s">
        <v>382</v>
      </c>
      <c r="F108" s="54">
        <v>12600365.039999999</v>
      </c>
      <c r="G108" s="54">
        <v>11341472.619999999</v>
      </c>
    </row>
    <row r="109" spans="1:7" ht="10.9" customHeight="1">
      <c r="A109" s="52" t="s">
        <v>445</v>
      </c>
      <c r="B109" s="53" t="s">
        <v>446</v>
      </c>
      <c r="C109" s="52" t="s">
        <v>40</v>
      </c>
      <c r="D109" s="53" t="s">
        <v>38</v>
      </c>
      <c r="E109" s="52" t="s">
        <v>397</v>
      </c>
      <c r="F109" s="54">
        <v>3897689.96</v>
      </c>
      <c r="G109" s="54">
        <v>3897689.96</v>
      </c>
    </row>
    <row r="110" spans="1:7" ht="10.9" customHeight="1">
      <c r="A110" s="52" t="s">
        <v>445</v>
      </c>
      <c r="B110" s="53" t="s">
        <v>446</v>
      </c>
      <c r="C110" s="52" t="s">
        <v>40</v>
      </c>
      <c r="D110" s="53" t="s">
        <v>38</v>
      </c>
      <c r="E110" s="52" t="s">
        <v>396</v>
      </c>
      <c r="F110" s="54">
        <v>6171145</v>
      </c>
      <c r="G110" s="54">
        <v>6171145</v>
      </c>
    </row>
    <row r="111" spans="1:7" ht="10.9" customHeight="1">
      <c r="A111" s="52" t="s">
        <v>445</v>
      </c>
      <c r="B111" s="53" t="s">
        <v>446</v>
      </c>
      <c r="C111" s="52" t="s">
        <v>334</v>
      </c>
      <c r="D111" s="53" t="s">
        <v>333</v>
      </c>
      <c r="E111" s="52" t="s">
        <v>404</v>
      </c>
      <c r="F111" s="54">
        <v>1128630</v>
      </c>
      <c r="G111" s="54">
        <v>28784.83</v>
      </c>
    </row>
    <row r="112" spans="1:7" ht="10.9" customHeight="1">
      <c r="A112" s="52" t="s">
        <v>445</v>
      </c>
      <c r="B112" s="53" t="s">
        <v>446</v>
      </c>
      <c r="C112" s="52" t="s">
        <v>334</v>
      </c>
      <c r="D112" s="53" t="s">
        <v>333</v>
      </c>
      <c r="E112" s="52" t="s">
        <v>405</v>
      </c>
      <c r="F112" s="54">
        <v>340870</v>
      </c>
      <c r="G112" s="54">
        <v>0</v>
      </c>
    </row>
    <row r="113" spans="1:7" ht="10.9" customHeight="1">
      <c r="A113" s="52" t="s">
        <v>445</v>
      </c>
      <c r="B113" s="53" t="s">
        <v>446</v>
      </c>
      <c r="C113" s="52" t="s">
        <v>334</v>
      </c>
      <c r="D113" s="53" t="s">
        <v>333</v>
      </c>
      <c r="E113" s="52" t="s">
        <v>382</v>
      </c>
      <c r="F113" s="54">
        <v>1122200</v>
      </c>
      <c r="G113" s="54">
        <v>525143.6</v>
      </c>
    </row>
    <row r="114" spans="1:7" ht="10.9" customHeight="1">
      <c r="A114" s="52" t="s">
        <v>445</v>
      </c>
      <c r="B114" s="53" t="s">
        <v>446</v>
      </c>
      <c r="C114" s="52" t="s">
        <v>334</v>
      </c>
      <c r="D114" s="53" t="s">
        <v>333</v>
      </c>
      <c r="E114" s="52" t="s">
        <v>397</v>
      </c>
      <c r="F114" s="54">
        <v>448200</v>
      </c>
      <c r="G114" s="54">
        <v>73433</v>
      </c>
    </row>
    <row r="115" spans="1:7" ht="10.9" customHeight="1">
      <c r="A115" s="52" t="s">
        <v>445</v>
      </c>
      <c r="B115" s="53" t="s">
        <v>446</v>
      </c>
      <c r="C115" s="52" t="s">
        <v>334</v>
      </c>
      <c r="D115" s="53" t="s">
        <v>333</v>
      </c>
      <c r="E115" s="52" t="s">
        <v>396</v>
      </c>
      <c r="F115" s="54">
        <v>499700</v>
      </c>
      <c r="G115" s="54">
        <v>0</v>
      </c>
    </row>
    <row r="116" spans="1:7" ht="10.9" customHeight="1">
      <c r="A116" s="52" t="s">
        <v>447</v>
      </c>
      <c r="B116" s="53" t="s">
        <v>448</v>
      </c>
      <c r="C116" s="52" t="s">
        <v>68</v>
      </c>
      <c r="D116" s="53" t="s">
        <v>67</v>
      </c>
      <c r="E116" s="52" t="s">
        <v>449</v>
      </c>
      <c r="F116" s="54">
        <v>363935770</v>
      </c>
      <c r="G116" s="54">
        <v>343243301.60000002</v>
      </c>
    </row>
    <row r="117" spans="1:7" ht="10.9" customHeight="1">
      <c r="A117" s="52" t="s">
        <v>450</v>
      </c>
      <c r="B117" s="53" t="s">
        <v>451</v>
      </c>
      <c r="C117" s="52" t="s">
        <v>70</v>
      </c>
      <c r="D117" s="53" t="s">
        <v>69</v>
      </c>
      <c r="E117" s="52" t="s">
        <v>449</v>
      </c>
      <c r="F117" s="54">
        <v>776166800</v>
      </c>
      <c r="G117" s="54">
        <v>619504957.65999997</v>
      </c>
    </row>
    <row r="118" spans="1:7" ht="10.9" customHeight="1">
      <c r="A118" s="52" t="s">
        <v>452</v>
      </c>
      <c r="B118" s="53" t="s">
        <v>453</v>
      </c>
      <c r="C118" s="52" t="s">
        <v>57</v>
      </c>
      <c r="D118" s="53" t="s">
        <v>56</v>
      </c>
      <c r="E118" s="52" t="s">
        <v>400</v>
      </c>
      <c r="F118" s="54">
        <v>62192400</v>
      </c>
      <c r="G118" s="54">
        <v>53030800</v>
      </c>
    </row>
    <row r="119" spans="1:7" ht="10.9" customHeight="1">
      <c r="A119" s="52" t="s">
        <v>454</v>
      </c>
      <c r="B119" s="53" t="s">
        <v>455</v>
      </c>
      <c r="C119" s="52" t="s">
        <v>53</v>
      </c>
      <c r="D119" s="55" t="s">
        <v>52</v>
      </c>
      <c r="E119" s="52" t="s">
        <v>400</v>
      </c>
      <c r="F119" s="54">
        <v>9000000</v>
      </c>
      <c r="G119" s="54">
        <v>9000000</v>
      </c>
    </row>
    <row r="120" spans="1:7" ht="10.9" customHeight="1">
      <c r="A120" s="52" t="s">
        <v>454</v>
      </c>
      <c r="B120" s="53" t="s">
        <v>455</v>
      </c>
      <c r="C120" s="52" t="s">
        <v>47</v>
      </c>
      <c r="D120" s="53" t="s">
        <v>45</v>
      </c>
      <c r="E120" s="52" t="s">
        <v>400</v>
      </c>
      <c r="F120" s="54">
        <v>20369200</v>
      </c>
      <c r="G120" s="54">
        <v>0</v>
      </c>
    </row>
    <row r="121" spans="1:7" ht="10.9" customHeight="1">
      <c r="A121" s="52" t="s">
        <v>454</v>
      </c>
      <c r="B121" s="53" t="s">
        <v>455</v>
      </c>
      <c r="C121" s="52" t="s">
        <v>325</v>
      </c>
      <c r="D121" s="53" t="s">
        <v>326</v>
      </c>
      <c r="E121" s="52" t="s">
        <v>400</v>
      </c>
      <c r="F121" s="54">
        <v>79000000</v>
      </c>
      <c r="G121" s="54">
        <v>57138731.859999999</v>
      </c>
    </row>
    <row r="122" spans="1:7" ht="10.9" customHeight="1">
      <c r="A122" s="52" t="s">
        <v>454</v>
      </c>
      <c r="B122" s="53" t="s">
        <v>455</v>
      </c>
      <c r="C122" s="52" t="s">
        <v>327</v>
      </c>
      <c r="D122" s="53" t="s">
        <v>328</v>
      </c>
      <c r="E122" s="52" t="s">
        <v>415</v>
      </c>
      <c r="F122" s="54">
        <v>25122700</v>
      </c>
      <c r="G122" s="54">
        <v>8845679.0099999998</v>
      </c>
    </row>
    <row r="123" spans="1:7" ht="10.9" customHeight="1">
      <c r="A123" s="52" t="s">
        <v>456</v>
      </c>
      <c r="B123" s="53" t="s">
        <v>457</v>
      </c>
      <c r="C123" s="52" t="s">
        <v>55</v>
      </c>
      <c r="D123" s="53" t="s">
        <v>355</v>
      </c>
      <c r="E123" s="52" t="s">
        <v>400</v>
      </c>
      <c r="F123" s="54">
        <v>30000000</v>
      </c>
      <c r="G123" s="54">
        <v>28094600</v>
      </c>
    </row>
    <row r="124" spans="1:7" ht="10.9" customHeight="1">
      <c r="A124" s="56" t="s">
        <v>366</v>
      </c>
      <c r="B124" s="57"/>
      <c r="C124" s="70"/>
      <c r="D124" s="57"/>
      <c r="E124" s="70"/>
      <c r="F124" s="58">
        <v>9627882301.2099991</v>
      </c>
      <c r="G124" s="58">
        <v>6050483889.5699997</v>
      </c>
    </row>
    <row r="127" spans="1:7" ht="10.9" customHeight="1">
      <c r="G127" s="71">
        <f>G124-Лист3!D95</f>
        <v>712842.53</v>
      </c>
    </row>
  </sheetData>
  <mergeCells count="6">
    <mergeCell ref="A10:G10"/>
    <mergeCell ref="A1:F1"/>
    <mergeCell ref="A6:H6"/>
    <mergeCell ref="A7:G7"/>
    <mergeCell ref="A8:G8"/>
    <mergeCell ref="A9:G9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72"/>
  <sheetViews>
    <sheetView topLeftCell="A37" workbookViewId="0">
      <selection activeCell="F70" sqref="F70:N72"/>
    </sheetView>
  </sheetViews>
  <sheetFormatPr defaultRowHeight="15"/>
  <cols>
    <col min="1" max="1" width="6.42578125" customWidth="1"/>
    <col min="2" max="2" width="49" customWidth="1"/>
    <col min="3" max="3" width="7.7109375" customWidth="1"/>
    <col min="4" max="4" width="21.5703125" customWidth="1"/>
    <col min="5" max="5" width="21.28515625" customWidth="1"/>
    <col min="6" max="6" width="15.5703125" customWidth="1"/>
    <col min="7" max="7" width="15.28515625" customWidth="1"/>
    <col min="8" max="8" width="16.7109375" customWidth="1"/>
    <col min="9" max="9" width="15.28515625" customWidth="1"/>
    <col min="10" max="10" width="14.28515625" customWidth="1"/>
    <col min="11" max="11" width="17" customWidth="1"/>
    <col min="12" max="12" width="18" customWidth="1"/>
    <col min="13" max="13" width="14.5703125" customWidth="1"/>
    <col min="14" max="14" width="16.28515625" customWidth="1"/>
    <col min="15" max="16" width="16.42578125" customWidth="1"/>
    <col min="17" max="17" width="15" customWidth="1"/>
    <col min="18" max="22" width="16.7109375" customWidth="1"/>
  </cols>
  <sheetData>
    <row r="1" spans="1:14" ht="16.5" customHeight="1">
      <c r="A1" s="120" t="s">
        <v>0</v>
      </c>
      <c r="B1" s="123" t="s">
        <v>1</v>
      </c>
      <c r="C1" s="120" t="s">
        <v>2</v>
      </c>
      <c r="D1" s="120" t="s">
        <v>3</v>
      </c>
      <c r="E1" s="120" t="s">
        <v>4</v>
      </c>
      <c r="F1" s="131" t="s">
        <v>5</v>
      </c>
      <c r="G1" s="132"/>
      <c r="H1" s="132"/>
      <c r="I1" s="132"/>
      <c r="J1" s="132"/>
      <c r="K1" s="132"/>
      <c r="L1" s="132"/>
      <c r="M1" s="133"/>
      <c r="N1" s="120" t="s">
        <v>345</v>
      </c>
    </row>
    <row r="2" spans="1:14" ht="16.5" customHeight="1">
      <c r="A2" s="121"/>
      <c r="B2" s="124"/>
      <c r="C2" s="121"/>
      <c r="D2" s="121"/>
      <c r="E2" s="126"/>
      <c r="F2" s="131" t="s">
        <v>8</v>
      </c>
      <c r="G2" s="132"/>
      <c r="H2" s="132"/>
      <c r="I2" s="133"/>
      <c r="J2" s="131" t="s">
        <v>9</v>
      </c>
      <c r="K2" s="132"/>
      <c r="L2" s="132"/>
      <c r="M2" s="133"/>
      <c r="N2" s="121"/>
    </row>
    <row r="3" spans="1:14" ht="75.75" customHeight="1">
      <c r="A3" s="122"/>
      <c r="B3" s="125"/>
      <c r="C3" s="122"/>
      <c r="D3" s="122"/>
      <c r="E3" s="127"/>
      <c r="F3" s="62" t="s">
        <v>12</v>
      </c>
      <c r="G3" s="62" t="s">
        <v>13</v>
      </c>
      <c r="H3" s="62" t="s">
        <v>14</v>
      </c>
      <c r="I3" s="62" t="s">
        <v>15</v>
      </c>
      <c r="J3" s="62" t="s">
        <v>12</v>
      </c>
      <c r="K3" s="62" t="s">
        <v>13</v>
      </c>
      <c r="L3" s="62" t="s">
        <v>14</v>
      </c>
      <c r="M3" s="62" t="s">
        <v>15</v>
      </c>
      <c r="N3" s="122"/>
    </row>
    <row r="4" spans="1:14" ht="17.25">
      <c r="A4" s="11"/>
      <c r="B4" s="22" t="s">
        <v>17</v>
      </c>
      <c r="C4" s="61"/>
      <c r="D4" s="61"/>
      <c r="E4" s="61"/>
      <c r="F4" s="79">
        <f>SUM(F5:F14)</f>
        <v>10207.9</v>
      </c>
      <c r="G4" s="79">
        <f t="shared" ref="G4:M4" si="0">SUM(G5:G14)</f>
        <v>3426.1</v>
      </c>
      <c r="H4" s="79">
        <f t="shared" si="0"/>
        <v>6201.8</v>
      </c>
      <c r="I4" s="79">
        <f t="shared" si="0"/>
        <v>580</v>
      </c>
      <c r="J4" s="79">
        <f t="shared" si="0"/>
        <v>6369.9</v>
      </c>
      <c r="K4" s="79">
        <f t="shared" si="0"/>
        <v>2370</v>
      </c>
      <c r="L4" s="79">
        <f t="shared" si="0"/>
        <v>3679.8</v>
      </c>
      <c r="M4" s="79">
        <f t="shared" si="0"/>
        <v>320.10000000000002</v>
      </c>
      <c r="N4" s="80">
        <f>J4/F4</f>
        <v>0.624</v>
      </c>
    </row>
    <row r="5" spans="1:14" ht="16.5">
      <c r="A5" s="72">
        <v>1</v>
      </c>
      <c r="B5" s="73" t="s">
        <v>18</v>
      </c>
      <c r="C5" s="74" t="s">
        <v>19</v>
      </c>
      <c r="D5" s="74" t="s">
        <v>19</v>
      </c>
      <c r="E5" s="74" t="s">
        <v>19</v>
      </c>
      <c r="F5" s="78">
        <f>G5+H5+I5</f>
        <v>2987.6</v>
      </c>
      <c r="G5" s="78">
        <v>1573.7</v>
      </c>
      <c r="H5" s="78">
        <v>1369.6</v>
      </c>
      <c r="I5" s="78">
        <v>44.3</v>
      </c>
      <c r="J5" s="78">
        <f>K5+L5+M5</f>
        <v>1296.5</v>
      </c>
      <c r="K5" s="78">
        <v>784</v>
      </c>
      <c r="L5" s="78">
        <v>486.1</v>
      </c>
      <c r="M5" s="78">
        <v>26.4</v>
      </c>
      <c r="N5" s="81">
        <f t="shared" ref="N5:N14" si="1">J5/F5</f>
        <v>0.434</v>
      </c>
    </row>
    <row r="6" spans="1:14" ht="16.5">
      <c r="A6" s="72" t="s">
        <v>75</v>
      </c>
      <c r="B6" s="73" t="s">
        <v>76</v>
      </c>
      <c r="C6" s="74" t="s">
        <v>19</v>
      </c>
      <c r="D6" s="74" t="s">
        <v>19</v>
      </c>
      <c r="E6" s="74" t="s">
        <v>19</v>
      </c>
      <c r="F6" s="78">
        <f t="shared" ref="F6:F14" si="2">G6+H6+I6</f>
        <v>1216.0999999999999</v>
      </c>
      <c r="G6" s="78">
        <v>266.7</v>
      </c>
      <c r="H6" s="78">
        <v>949.4</v>
      </c>
      <c r="I6" s="78">
        <v>0</v>
      </c>
      <c r="J6" s="78">
        <f t="shared" ref="J6:J14" si="3">K6+L6+M6</f>
        <v>569.1</v>
      </c>
      <c r="K6" s="78">
        <v>166.8</v>
      </c>
      <c r="L6" s="78">
        <v>402.3</v>
      </c>
      <c r="M6" s="78">
        <v>0</v>
      </c>
      <c r="N6" s="81">
        <f t="shared" si="1"/>
        <v>0.46800000000000003</v>
      </c>
    </row>
    <row r="7" spans="1:14" ht="16.5">
      <c r="A7" s="72" t="s">
        <v>117</v>
      </c>
      <c r="B7" s="73" t="s">
        <v>118</v>
      </c>
      <c r="C7" s="74" t="s">
        <v>19</v>
      </c>
      <c r="D7" s="74" t="s">
        <v>19</v>
      </c>
      <c r="E7" s="74" t="s">
        <v>19</v>
      </c>
      <c r="F7" s="78">
        <f t="shared" si="2"/>
        <v>1518.7</v>
      </c>
      <c r="G7" s="78">
        <v>817.1</v>
      </c>
      <c r="H7" s="78">
        <v>662.9</v>
      </c>
      <c r="I7" s="78">
        <v>38.700000000000003</v>
      </c>
      <c r="J7" s="78">
        <f t="shared" si="3"/>
        <v>1288</v>
      </c>
      <c r="K7" s="78">
        <v>767.1</v>
      </c>
      <c r="L7" s="78">
        <v>486</v>
      </c>
      <c r="M7" s="78">
        <v>34.9</v>
      </c>
      <c r="N7" s="81">
        <f t="shared" si="1"/>
        <v>0.84799999999999998</v>
      </c>
    </row>
    <row r="8" spans="1:14" ht="16.5">
      <c r="A8" s="72" t="s">
        <v>176</v>
      </c>
      <c r="B8" s="73" t="s">
        <v>177</v>
      </c>
      <c r="C8" s="74" t="s">
        <v>19</v>
      </c>
      <c r="D8" s="74" t="s">
        <v>19</v>
      </c>
      <c r="E8" s="74" t="s">
        <v>19</v>
      </c>
      <c r="F8" s="78">
        <f t="shared" si="2"/>
        <v>113.7</v>
      </c>
      <c r="G8" s="78">
        <v>113.7</v>
      </c>
      <c r="H8" s="78">
        <v>0</v>
      </c>
      <c r="I8" s="78">
        <v>0</v>
      </c>
      <c r="J8" s="78">
        <f t="shared" si="3"/>
        <v>67.599999999999994</v>
      </c>
      <c r="K8" s="78">
        <v>67.599999999999994</v>
      </c>
      <c r="L8" s="78">
        <v>0</v>
      </c>
      <c r="M8" s="78">
        <v>0</v>
      </c>
      <c r="N8" s="81">
        <f t="shared" si="1"/>
        <v>0.59499999999999997</v>
      </c>
    </row>
    <row r="9" spans="1:14" ht="33">
      <c r="A9" s="72" t="s">
        <v>210</v>
      </c>
      <c r="B9" s="77" t="s">
        <v>211</v>
      </c>
      <c r="C9" s="74" t="s">
        <v>19</v>
      </c>
      <c r="D9" s="74" t="s">
        <v>19</v>
      </c>
      <c r="E9" s="74" t="s">
        <v>19</v>
      </c>
      <c r="F9" s="78">
        <f t="shared" si="2"/>
        <v>1184.7</v>
      </c>
      <c r="G9" s="78">
        <v>28.5</v>
      </c>
      <c r="H9" s="78">
        <v>960.5</v>
      </c>
      <c r="I9" s="78">
        <v>195.7</v>
      </c>
      <c r="J9" s="78">
        <f t="shared" si="3"/>
        <v>232.7</v>
      </c>
      <c r="K9" s="78">
        <v>6.8</v>
      </c>
      <c r="L9" s="78">
        <v>220.8</v>
      </c>
      <c r="M9" s="78">
        <v>5.0999999999999996</v>
      </c>
      <c r="N9" s="81">
        <f t="shared" si="1"/>
        <v>0.19600000000000001</v>
      </c>
    </row>
    <row r="10" spans="1:14" ht="16.5">
      <c r="A10" s="72" t="s">
        <v>228</v>
      </c>
      <c r="B10" s="73" t="s">
        <v>229</v>
      </c>
      <c r="C10" s="74" t="s">
        <v>19</v>
      </c>
      <c r="D10" s="74" t="s">
        <v>19</v>
      </c>
      <c r="E10" s="74" t="s">
        <v>19</v>
      </c>
      <c r="F10" s="78">
        <f t="shared" si="2"/>
        <v>179.9</v>
      </c>
      <c r="G10" s="78">
        <v>38.200000000000003</v>
      </c>
      <c r="H10" s="78">
        <v>125.4</v>
      </c>
      <c r="I10" s="78">
        <v>16.3</v>
      </c>
      <c r="J10" s="78">
        <f t="shared" si="3"/>
        <v>64.599999999999994</v>
      </c>
      <c r="K10" s="78">
        <v>1.7</v>
      </c>
      <c r="L10" s="78">
        <v>61.6</v>
      </c>
      <c r="M10" s="78">
        <v>1.3</v>
      </c>
      <c r="N10" s="81">
        <f t="shared" si="1"/>
        <v>0.35899999999999999</v>
      </c>
    </row>
    <row r="11" spans="1:14" ht="33">
      <c r="A11" s="72" t="s">
        <v>253</v>
      </c>
      <c r="B11" s="77" t="s">
        <v>254</v>
      </c>
      <c r="C11" s="74" t="s">
        <v>19</v>
      </c>
      <c r="D11" s="74" t="s">
        <v>19</v>
      </c>
      <c r="E11" s="74" t="s">
        <v>19</v>
      </c>
      <c r="F11" s="78">
        <f t="shared" si="2"/>
        <v>2560.5</v>
      </c>
      <c r="G11" s="78">
        <v>523</v>
      </c>
      <c r="H11" s="78">
        <v>1768.6</v>
      </c>
      <c r="I11" s="78">
        <v>268.89999999999998</v>
      </c>
      <c r="J11" s="78">
        <f t="shared" si="3"/>
        <v>2534.8000000000002</v>
      </c>
      <c r="K11" s="78">
        <v>519.70000000000005</v>
      </c>
      <c r="L11" s="78">
        <v>1768.6</v>
      </c>
      <c r="M11" s="78">
        <v>246.5</v>
      </c>
      <c r="N11" s="81">
        <f t="shared" si="1"/>
        <v>0.99</v>
      </c>
    </row>
    <row r="12" spans="1:14" ht="16.5">
      <c r="A12" s="72" t="s">
        <v>260</v>
      </c>
      <c r="B12" s="73" t="s">
        <v>261</v>
      </c>
      <c r="C12" s="74" t="s">
        <v>19</v>
      </c>
      <c r="D12" s="74" t="s">
        <v>19</v>
      </c>
      <c r="E12" s="74" t="s">
        <v>19</v>
      </c>
      <c r="F12" s="78">
        <f t="shared" si="2"/>
        <v>148</v>
      </c>
      <c r="G12" s="78">
        <v>45.9</v>
      </c>
      <c r="H12" s="78">
        <v>86.5</v>
      </c>
      <c r="I12" s="78">
        <v>15.6</v>
      </c>
      <c r="J12" s="78">
        <f t="shared" si="3"/>
        <v>103.1</v>
      </c>
      <c r="K12" s="78">
        <v>40.4</v>
      </c>
      <c r="L12" s="78">
        <v>56.8</v>
      </c>
      <c r="M12" s="78">
        <v>5.9</v>
      </c>
      <c r="N12" s="81">
        <f t="shared" si="1"/>
        <v>0.69699999999999995</v>
      </c>
    </row>
    <row r="13" spans="1:14" ht="66">
      <c r="A13" s="72" t="s">
        <v>278</v>
      </c>
      <c r="B13" s="77" t="s">
        <v>279</v>
      </c>
      <c r="C13" s="74" t="s">
        <v>19</v>
      </c>
      <c r="D13" s="74" t="s">
        <v>19</v>
      </c>
      <c r="E13" s="74" t="s">
        <v>19</v>
      </c>
      <c r="F13" s="78">
        <f t="shared" si="2"/>
        <v>213.7</v>
      </c>
      <c r="G13" s="78">
        <v>7.6</v>
      </c>
      <c r="H13" s="78">
        <v>205.6</v>
      </c>
      <c r="I13" s="78">
        <v>0.5</v>
      </c>
      <c r="J13" s="78">
        <f t="shared" si="3"/>
        <v>197.5</v>
      </c>
      <c r="K13" s="78">
        <v>6.4</v>
      </c>
      <c r="L13" s="78">
        <v>191.1</v>
      </c>
      <c r="M13" s="78">
        <v>0</v>
      </c>
      <c r="N13" s="81">
        <f t="shared" si="1"/>
        <v>0.92400000000000004</v>
      </c>
    </row>
    <row r="14" spans="1:14" ht="49.5">
      <c r="A14" s="72" t="s">
        <v>308</v>
      </c>
      <c r="B14" s="77" t="s">
        <v>309</v>
      </c>
      <c r="C14" s="74" t="s">
        <v>19</v>
      </c>
      <c r="D14" s="74" t="s">
        <v>19</v>
      </c>
      <c r="E14" s="74" t="s">
        <v>19</v>
      </c>
      <c r="F14" s="78">
        <f t="shared" si="2"/>
        <v>85</v>
      </c>
      <c r="G14" s="78">
        <v>11.7</v>
      </c>
      <c r="H14" s="78">
        <v>73.3</v>
      </c>
      <c r="I14" s="78">
        <v>0</v>
      </c>
      <c r="J14" s="78">
        <f t="shared" si="3"/>
        <v>16</v>
      </c>
      <c r="K14" s="78">
        <v>9.5</v>
      </c>
      <c r="L14" s="78">
        <v>6.5</v>
      </c>
      <c r="M14" s="78">
        <v>0</v>
      </c>
      <c r="N14" s="81">
        <f t="shared" si="1"/>
        <v>0.188</v>
      </c>
    </row>
    <row r="16" spans="1:14" ht="16.5">
      <c r="A16" s="1">
        <v>1</v>
      </c>
      <c r="B16" s="26" t="s">
        <v>18</v>
      </c>
      <c r="C16" s="2" t="s">
        <v>19</v>
      </c>
      <c r="D16" s="2" t="s">
        <v>19</v>
      </c>
      <c r="E16" s="2" t="s">
        <v>19</v>
      </c>
      <c r="F16" s="28">
        <f>SUM(F17:F21)</f>
        <v>2987.6</v>
      </c>
      <c r="G16" s="28">
        <f t="shared" ref="G16:M16" si="4">SUM(G17:G21)</f>
        <v>1573.7</v>
      </c>
      <c r="H16" s="28">
        <f t="shared" si="4"/>
        <v>1369.6</v>
      </c>
      <c r="I16" s="28">
        <f t="shared" si="4"/>
        <v>44.3</v>
      </c>
      <c r="J16" s="28">
        <f t="shared" si="4"/>
        <v>1296.4000000000001</v>
      </c>
      <c r="K16" s="28">
        <f t="shared" si="4"/>
        <v>783.9</v>
      </c>
      <c r="L16" s="28">
        <f t="shared" si="4"/>
        <v>486.1</v>
      </c>
      <c r="M16" s="28">
        <f t="shared" si="4"/>
        <v>26.4</v>
      </c>
      <c r="N16" s="34">
        <f>J16/F16</f>
        <v>0.434</v>
      </c>
    </row>
    <row r="17" spans="1:14" ht="33">
      <c r="A17" s="9" t="s">
        <v>20</v>
      </c>
      <c r="B17" s="23" t="s">
        <v>21</v>
      </c>
      <c r="C17" s="12" t="s">
        <v>19</v>
      </c>
      <c r="D17" s="12" t="s">
        <v>19</v>
      </c>
      <c r="E17" s="12" t="s">
        <v>19</v>
      </c>
      <c r="F17" s="75">
        <f>G17+H17+I17</f>
        <v>348.8</v>
      </c>
      <c r="G17" s="75">
        <v>15.1</v>
      </c>
      <c r="H17" s="75">
        <v>333.7</v>
      </c>
      <c r="I17" s="75">
        <v>0</v>
      </c>
      <c r="J17" s="75">
        <f>K17+L17+M17</f>
        <v>147.4</v>
      </c>
      <c r="K17" s="75">
        <v>5.4</v>
      </c>
      <c r="L17" s="75">
        <v>142</v>
      </c>
      <c r="M17" s="75">
        <v>0</v>
      </c>
      <c r="N17" s="76">
        <f t="shared" ref="N17:N20" si="5">J17/F17</f>
        <v>0.42299999999999999</v>
      </c>
    </row>
    <row r="18" spans="1:14" ht="33">
      <c r="A18" s="9" t="s">
        <v>43</v>
      </c>
      <c r="B18" s="23" t="s">
        <v>44</v>
      </c>
      <c r="C18" s="12" t="s">
        <v>19</v>
      </c>
      <c r="D18" s="12" t="s">
        <v>19</v>
      </c>
      <c r="E18" s="12" t="s">
        <v>19</v>
      </c>
      <c r="F18" s="75">
        <f t="shared" ref="F18:F21" si="6">G18+H18+I18</f>
        <v>268.8</v>
      </c>
      <c r="G18" s="75">
        <v>205.9</v>
      </c>
      <c r="H18" s="75">
        <v>19.8</v>
      </c>
      <c r="I18" s="75">
        <v>43.1</v>
      </c>
      <c r="J18" s="75">
        <f t="shared" ref="J18:J21" si="7">K18+L18+M18</f>
        <v>182.5</v>
      </c>
      <c r="K18" s="75">
        <v>156.1</v>
      </c>
      <c r="L18" s="75">
        <v>0</v>
      </c>
      <c r="M18" s="75">
        <v>26.4</v>
      </c>
      <c r="N18" s="76">
        <f t="shared" si="5"/>
        <v>0.67900000000000005</v>
      </c>
    </row>
    <row r="19" spans="1:14" ht="66">
      <c r="A19" s="9" t="s">
        <v>58</v>
      </c>
      <c r="B19" s="23" t="s">
        <v>59</v>
      </c>
      <c r="C19" s="12" t="s">
        <v>19</v>
      </c>
      <c r="D19" s="12" t="s">
        <v>19</v>
      </c>
      <c r="E19" s="12" t="s">
        <v>19</v>
      </c>
      <c r="F19" s="75">
        <f t="shared" si="6"/>
        <v>1220.7</v>
      </c>
      <c r="G19" s="75">
        <v>572.79999999999995</v>
      </c>
      <c r="H19" s="75">
        <v>646.70000000000005</v>
      </c>
      <c r="I19" s="75">
        <v>1.2</v>
      </c>
      <c r="J19" s="75">
        <f t="shared" si="7"/>
        <v>0</v>
      </c>
      <c r="K19" s="75">
        <v>0</v>
      </c>
      <c r="L19" s="75">
        <v>0</v>
      </c>
      <c r="M19" s="75">
        <v>0</v>
      </c>
      <c r="N19" s="76">
        <f t="shared" si="5"/>
        <v>0</v>
      </c>
    </row>
    <row r="20" spans="1:14" ht="49.5">
      <c r="A20" s="9" t="s">
        <v>64</v>
      </c>
      <c r="B20" s="23" t="s">
        <v>65</v>
      </c>
      <c r="C20" s="12" t="s">
        <v>19</v>
      </c>
      <c r="D20" s="12" t="s">
        <v>19</v>
      </c>
      <c r="E20" s="12" t="s">
        <v>19</v>
      </c>
      <c r="F20" s="75">
        <v>1145.5999999999999</v>
      </c>
      <c r="G20" s="75">
        <v>776.2</v>
      </c>
      <c r="H20" s="75">
        <v>369.4</v>
      </c>
      <c r="I20" s="75">
        <v>0</v>
      </c>
      <c r="J20" s="75">
        <f t="shared" si="7"/>
        <v>963</v>
      </c>
      <c r="K20" s="75">
        <v>618.9</v>
      </c>
      <c r="L20" s="75">
        <v>344.1</v>
      </c>
      <c r="M20" s="75">
        <v>0</v>
      </c>
      <c r="N20" s="76">
        <f t="shared" si="5"/>
        <v>0.84099999999999997</v>
      </c>
    </row>
    <row r="21" spans="1:14" ht="33">
      <c r="A21" s="9" t="s">
        <v>71</v>
      </c>
      <c r="B21" s="23" t="s">
        <v>72</v>
      </c>
      <c r="C21" s="12" t="s">
        <v>19</v>
      </c>
      <c r="D21" s="12" t="s">
        <v>19</v>
      </c>
      <c r="E21" s="12" t="s">
        <v>19</v>
      </c>
      <c r="F21" s="75">
        <f t="shared" si="6"/>
        <v>3.7</v>
      </c>
      <c r="G21" s="75">
        <v>3.7</v>
      </c>
      <c r="H21" s="75">
        <v>0</v>
      </c>
      <c r="I21" s="75">
        <v>0</v>
      </c>
      <c r="J21" s="75">
        <f t="shared" si="7"/>
        <v>3.5</v>
      </c>
      <c r="K21" s="75">
        <v>3.5</v>
      </c>
      <c r="L21" s="75">
        <v>0</v>
      </c>
      <c r="M21" s="75">
        <v>0</v>
      </c>
      <c r="N21" s="76">
        <v>0.95099999999999996</v>
      </c>
    </row>
    <row r="23" spans="1:14" ht="16.5">
      <c r="A23" s="30" t="s">
        <v>75</v>
      </c>
      <c r="B23" s="31" t="s">
        <v>76</v>
      </c>
      <c r="C23" s="32" t="s">
        <v>19</v>
      </c>
      <c r="D23" s="32" t="s">
        <v>19</v>
      </c>
      <c r="E23" s="32" t="s">
        <v>19</v>
      </c>
      <c r="F23" s="33">
        <f>SUM(F24:F28)</f>
        <v>1216.0999999999999</v>
      </c>
      <c r="G23" s="82">
        <f t="shared" ref="G23:M23" si="8">SUM(G24:G28)</f>
        <v>266.7</v>
      </c>
      <c r="H23" s="82">
        <f t="shared" si="8"/>
        <v>949.4</v>
      </c>
      <c r="I23" s="33">
        <f t="shared" si="8"/>
        <v>0</v>
      </c>
      <c r="J23" s="33">
        <f t="shared" si="8"/>
        <v>569.1</v>
      </c>
      <c r="K23" s="33">
        <f t="shared" si="8"/>
        <v>166.8</v>
      </c>
      <c r="L23" s="33">
        <f t="shared" si="8"/>
        <v>402.3</v>
      </c>
      <c r="M23" s="33">
        <f t="shared" si="8"/>
        <v>0</v>
      </c>
      <c r="N23" s="36">
        <f>J23/F23</f>
        <v>0.46800000000000003</v>
      </c>
    </row>
    <row r="24" spans="1:14" ht="49.5">
      <c r="A24" s="9" t="s">
        <v>77</v>
      </c>
      <c r="B24" s="23" t="s">
        <v>78</v>
      </c>
      <c r="C24" s="12" t="s">
        <v>19</v>
      </c>
      <c r="D24" s="12" t="s">
        <v>19</v>
      </c>
      <c r="E24" s="12" t="s">
        <v>19</v>
      </c>
      <c r="F24" s="75">
        <f>G24+H24+I24</f>
        <v>282.3</v>
      </c>
      <c r="G24" s="75">
        <v>135.1</v>
      </c>
      <c r="H24" s="75">
        <v>147.19999999999999</v>
      </c>
      <c r="I24" s="75">
        <v>0</v>
      </c>
      <c r="J24" s="75">
        <f>K24+L24+M24</f>
        <v>273.3</v>
      </c>
      <c r="K24" s="75">
        <v>134.69999999999999</v>
      </c>
      <c r="L24" s="75">
        <v>138.6</v>
      </c>
      <c r="M24" s="75">
        <v>0</v>
      </c>
      <c r="N24" s="76">
        <f t="shared" ref="N24:N28" si="9">J24/F24</f>
        <v>0.96799999999999997</v>
      </c>
    </row>
    <row r="25" spans="1:14" ht="49.5">
      <c r="A25" s="9" t="s">
        <v>91</v>
      </c>
      <c r="B25" s="23" t="s">
        <v>92</v>
      </c>
      <c r="C25" s="12" t="s">
        <v>19</v>
      </c>
      <c r="D25" s="12" t="s">
        <v>19</v>
      </c>
      <c r="E25" s="12" t="s">
        <v>19</v>
      </c>
      <c r="F25" s="75">
        <f t="shared" ref="F25:F27" si="10">G25+H25+I25</f>
        <v>80</v>
      </c>
      <c r="G25" s="75">
        <v>5.5</v>
      </c>
      <c r="H25" s="75">
        <v>74.5</v>
      </c>
      <c r="I25" s="75">
        <v>0</v>
      </c>
      <c r="J25" s="75">
        <f t="shared" ref="J25:J28" si="11">K25+L25+M25</f>
        <v>11.2</v>
      </c>
      <c r="K25" s="75">
        <v>4.7</v>
      </c>
      <c r="L25" s="75">
        <v>6.5</v>
      </c>
      <c r="M25" s="75">
        <v>0</v>
      </c>
      <c r="N25" s="76">
        <f t="shared" si="9"/>
        <v>0.14000000000000001</v>
      </c>
    </row>
    <row r="26" spans="1:14" ht="82.5">
      <c r="A26" s="9" t="s">
        <v>97</v>
      </c>
      <c r="B26" s="23" t="s">
        <v>98</v>
      </c>
      <c r="C26" s="12" t="s">
        <v>19</v>
      </c>
      <c r="D26" s="12" t="s">
        <v>19</v>
      </c>
      <c r="E26" s="12" t="s">
        <v>19</v>
      </c>
      <c r="F26" s="75">
        <f t="shared" si="10"/>
        <v>106.2</v>
      </c>
      <c r="G26" s="75">
        <v>20.100000000000001</v>
      </c>
      <c r="H26" s="75">
        <v>86.1</v>
      </c>
      <c r="I26" s="75">
        <v>0</v>
      </c>
      <c r="J26" s="75">
        <f t="shared" si="11"/>
        <v>41.9</v>
      </c>
      <c r="K26" s="75">
        <v>8.9</v>
      </c>
      <c r="L26" s="75">
        <v>33</v>
      </c>
      <c r="M26" s="75">
        <v>0</v>
      </c>
      <c r="N26" s="76">
        <f t="shared" si="9"/>
        <v>0.39500000000000002</v>
      </c>
    </row>
    <row r="27" spans="1:14" ht="99">
      <c r="A27" s="9" t="s">
        <v>103</v>
      </c>
      <c r="B27" s="23" t="s">
        <v>104</v>
      </c>
      <c r="C27" s="12" t="s">
        <v>19</v>
      </c>
      <c r="D27" s="12" t="s">
        <v>19</v>
      </c>
      <c r="E27" s="12" t="s">
        <v>19</v>
      </c>
      <c r="F27" s="75">
        <f t="shared" si="10"/>
        <v>138.69999999999999</v>
      </c>
      <c r="G27" s="75">
        <v>26.3</v>
      </c>
      <c r="H27" s="75">
        <v>112.4</v>
      </c>
      <c r="I27" s="75">
        <v>0</v>
      </c>
      <c r="J27" s="75">
        <f t="shared" si="11"/>
        <v>7</v>
      </c>
      <c r="K27" s="75">
        <v>7</v>
      </c>
      <c r="L27" s="75">
        <v>0</v>
      </c>
      <c r="M27" s="75">
        <v>0</v>
      </c>
      <c r="N27" s="76">
        <f t="shared" si="9"/>
        <v>0.05</v>
      </c>
    </row>
    <row r="28" spans="1:14" ht="33">
      <c r="A28" s="9" t="s">
        <v>109</v>
      </c>
      <c r="B28" s="23" t="s">
        <v>110</v>
      </c>
      <c r="C28" s="12" t="s">
        <v>19</v>
      </c>
      <c r="D28" s="12" t="s">
        <v>19</v>
      </c>
      <c r="E28" s="12" t="s">
        <v>19</v>
      </c>
      <c r="F28" s="75">
        <f>G28+H28+I28</f>
        <v>608.9</v>
      </c>
      <c r="G28" s="75">
        <v>79.7</v>
      </c>
      <c r="H28" s="75">
        <v>529.20000000000005</v>
      </c>
      <c r="I28" s="75">
        <v>0</v>
      </c>
      <c r="J28" s="75">
        <f t="shared" si="11"/>
        <v>235.7</v>
      </c>
      <c r="K28" s="75">
        <v>11.5</v>
      </c>
      <c r="L28" s="75">
        <v>224.2</v>
      </c>
      <c r="M28" s="75">
        <v>0</v>
      </c>
      <c r="N28" s="76">
        <f t="shared" si="9"/>
        <v>0.38700000000000001</v>
      </c>
    </row>
    <row r="30" spans="1:14" ht="16.5">
      <c r="A30" s="1" t="s">
        <v>117</v>
      </c>
      <c r="B30" s="26" t="s">
        <v>118</v>
      </c>
      <c r="C30" s="2" t="s">
        <v>19</v>
      </c>
      <c r="D30" s="2" t="s">
        <v>19</v>
      </c>
      <c r="E30" s="2" t="s">
        <v>19</v>
      </c>
      <c r="F30" s="28">
        <f>SUM(F31:F35)</f>
        <v>1518.7</v>
      </c>
      <c r="G30" s="28">
        <f t="shared" ref="G30:M30" si="12">SUM(G31:G35)</f>
        <v>817.1</v>
      </c>
      <c r="H30" s="28">
        <f t="shared" si="12"/>
        <v>662.9</v>
      </c>
      <c r="I30" s="28">
        <f t="shared" si="12"/>
        <v>38.700000000000003</v>
      </c>
      <c r="J30" s="28">
        <f t="shared" si="12"/>
        <v>1288</v>
      </c>
      <c r="K30" s="28">
        <f t="shared" si="12"/>
        <v>767.1</v>
      </c>
      <c r="L30" s="28">
        <f t="shared" si="12"/>
        <v>486</v>
      </c>
      <c r="M30" s="28">
        <f t="shared" si="12"/>
        <v>34.9</v>
      </c>
      <c r="N30" s="34">
        <f>J30/F30</f>
        <v>0.84799999999999998</v>
      </c>
    </row>
    <row r="31" spans="1:14" ht="33">
      <c r="A31" s="9" t="s">
        <v>119</v>
      </c>
      <c r="B31" s="23" t="s">
        <v>120</v>
      </c>
      <c r="C31" s="12" t="s">
        <v>19</v>
      </c>
      <c r="D31" s="12" t="s">
        <v>19</v>
      </c>
      <c r="E31" s="12" t="s">
        <v>19</v>
      </c>
      <c r="F31" s="75">
        <f>G31+H31+I31</f>
        <v>1311.9</v>
      </c>
      <c r="G31" s="75">
        <v>705.9</v>
      </c>
      <c r="H31" s="75">
        <v>567.29999999999995</v>
      </c>
      <c r="I31" s="75">
        <v>38.700000000000003</v>
      </c>
      <c r="J31" s="75">
        <f>K31+L31+M31</f>
        <v>1165.8</v>
      </c>
      <c r="K31" s="75">
        <v>693.2</v>
      </c>
      <c r="L31" s="75">
        <v>437.7</v>
      </c>
      <c r="M31" s="75">
        <v>34.9</v>
      </c>
      <c r="N31" s="76">
        <f t="shared" ref="N31:N34" si="13">J31/F31</f>
        <v>0.88900000000000001</v>
      </c>
    </row>
    <row r="32" spans="1:14" ht="33">
      <c r="A32" s="9" t="s">
        <v>131</v>
      </c>
      <c r="B32" s="23" t="s">
        <v>132</v>
      </c>
      <c r="C32" s="12" t="s">
        <v>19</v>
      </c>
      <c r="D32" s="12" t="s">
        <v>19</v>
      </c>
      <c r="E32" s="12" t="s">
        <v>19</v>
      </c>
      <c r="F32" s="75">
        <f t="shared" ref="F32:F35" si="14">G32+H32+I32</f>
        <v>37.9</v>
      </c>
      <c r="G32" s="75">
        <v>7.4</v>
      </c>
      <c r="H32" s="75">
        <v>30.5</v>
      </c>
      <c r="I32" s="75">
        <v>0</v>
      </c>
      <c r="J32" s="75">
        <f t="shared" ref="J32:J35" si="15">K32+L32+M32</f>
        <v>10.9</v>
      </c>
      <c r="K32" s="75">
        <v>6.1</v>
      </c>
      <c r="L32" s="75">
        <v>4.8</v>
      </c>
      <c r="M32" s="75">
        <v>0</v>
      </c>
      <c r="N32" s="76">
        <f t="shared" si="13"/>
        <v>0.28799999999999998</v>
      </c>
    </row>
    <row r="33" spans="1:14" ht="33">
      <c r="A33" s="9" t="s">
        <v>141</v>
      </c>
      <c r="B33" s="23" t="s">
        <v>142</v>
      </c>
      <c r="C33" s="12" t="s">
        <v>19</v>
      </c>
      <c r="D33" s="12" t="s">
        <v>19</v>
      </c>
      <c r="E33" s="12" t="s">
        <v>19</v>
      </c>
      <c r="F33" s="75">
        <f t="shared" si="14"/>
        <v>94.4</v>
      </c>
      <c r="G33" s="75">
        <v>83.4</v>
      </c>
      <c r="H33" s="75">
        <v>11</v>
      </c>
      <c r="I33" s="75">
        <v>0</v>
      </c>
      <c r="J33" s="75">
        <f t="shared" si="15"/>
        <v>58.1</v>
      </c>
      <c r="K33" s="75">
        <v>53.1</v>
      </c>
      <c r="L33" s="75">
        <v>5</v>
      </c>
      <c r="M33" s="75">
        <v>0</v>
      </c>
      <c r="N33" s="76">
        <f t="shared" si="13"/>
        <v>0.61499999999999999</v>
      </c>
    </row>
    <row r="34" spans="1:14" ht="66">
      <c r="A34" s="9" t="s">
        <v>153</v>
      </c>
      <c r="B34" s="23" t="s">
        <v>154</v>
      </c>
      <c r="C34" s="12" t="s">
        <v>19</v>
      </c>
      <c r="D34" s="12" t="s">
        <v>19</v>
      </c>
      <c r="E34" s="12" t="s">
        <v>19</v>
      </c>
      <c r="F34" s="75">
        <f t="shared" si="14"/>
        <v>73.400000000000006</v>
      </c>
      <c r="G34" s="75">
        <v>19.3</v>
      </c>
      <c r="H34" s="75">
        <v>54.1</v>
      </c>
      <c r="I34" s="75">
        <v>0</v>
      </c>
      <c r="J34" s="75">
        <f t="shared" si="15"/>
        <v>52.5</v>
      </c>
      <c r="K34" s="75">
        <v>14</v>
      </c>
      <c r="L34" s="75">
        <v>38.5</v>
      </c>
      <c r="M34" s="75">
        <v>0</v>
      </c>
      <c r="N34" s="76">
        <f t="shared" si="13"/>
        <v>0.71499999999999997</v>
      </c>
    </row>
    <row r="35" spans="1:14" ht="33">
      <c r="A35" s="9" t="s">
        <v>172</v>
      </c>
      <c r="B35" s="23" t="s">
        <v>173</v>
      </c>
      <c r="C35" s="12" t="s">
        <v>19</v>
      </c>
      <c r="D35" s="12" t="s">
        <v>19</v>
      </c>
      <c r="E35" s="12" t="s">
        <v>19</v>
      </c>
      <c r="F35" s="75">
        <f t="shared" si="14"/>
        <v>1.1000000000000001</v>
      </c>
      <c r="G35" s="75">
        <v>1.1000000000000001</v>
      </c>
      <c r="H35" s="75">
        <v>0</v>
      </c>
      <c r="I35" s="75">
        <v>0</v>
      </c>
      <c r="J35" s="75">
        <f t="shared" si="15"/>
        <v>0.7</v>
      </c>
      <c r="K35" s="75">
        <v>0.7</v>
      </c>
      <c r="L35" s="75">
        <v>0</v>
      </c>
      <c r="M35" s="75">
        <v>0</v>
      </c>
      <c r="N35" s="76">
        <v>0.65800000000000003</v>
      </c>
    </row>
    <row r="37" spans="1:14" ht="16.5">
      <c r="A37" s="1" t="s">
        <v>176</v>
      </c>
      <c r="B37" s="26" t="s">
        <v>177</v>
      </c>
      <c r="C37" s="2" t="s">
        <v>19</v>
      </c>
      <c r="D37" s="2" t="s">
        <v>19</v>
      </c>
      <c r="E37" s="2" t="s">
        <v>19</v>
      </c>
      <c r="F37" s="28">
        <f>SUM(F38:F42)</f>
        <v>113.7</v>
      </c>
      <c r="G37" s="28">
        <f t="shared" ref="G37:M37" si="16">SUM(G38:G42)</f>
        <v>113.7</v>
      </c>
      <c r="H37" s="28">
        <f t="shared" si="16"/>
        <v>0</v>
      </c>
      <c r="I37" s="28">
        <f t="shared" si="16"/>
        <v>0</v>
      </c>
      <c r="J37" s="28">
        <f t="shared" si="16"/>
        <v>67.599999999999994</v>
      </c>
      <c r="K37" s="28">
        <f t="shared" si="16"/>
        <v>67.599999999999994</v>
      </c>
      <c r="L37" s="28">
        <f t="shared" si="16"/>
        <v>0</v>
      </c>
      <c r="M37" s="28">
        <f t="shared" si="16"/>
        <v>0</v>
      </c>
      <c r="N37" s="34">
        <f>J37/F37</f>
        <v>0.59499999999999997</v>
      </c>
    </row>
    <row r="38" spans="1:14" ht="33">
      <c r="A38" s="9" t="s">
        <v>178</v>
      </c>
      <c r="B38" s="23" t="s">
        <v>179</v>
      </c>
      <c r="C38" s="12" t="s">
        <v>19</v>
      </c>
      <c r="D38" s="12" t="s">
        <v>19</v>
      </c>
      <c r="E38" s="12" t="s">
        <v>19</v>
      </c>
      <c r="F38" s="75">
        <f>G38+H38+I38</f>
        <v>5.3</v>
      </c>
      <c r="G38" s="75">
        <v>5.3</v>
      </c>
      <c r="H38" s="75">
        <v>0</v>
      </c>
      <c r="I38" s="75">
        <v>0</v>
      </c>
      <c r="J38" s="75">
        <f>K38+L38+M38</f>
        <v>5</v>
      </c>
      <c r="K38" s="75">
        <v>5</v>
      </c>
      <c r="L38" s="75">
        <v>0</v>
      </c>
      <c r="M38" s="75">
        <v>0</v>
      </c>
      <c r="N38" s="76">
        <f t="shared" ref="N38:N42" si="17">J38/F38</f>
        <v>0.94299999999999995</v>
      </c>
    </row>
    <row r="39" spans="1:14" ht="33">
      <c r="A39" s="9" t="s">
        <v>182</v>
      </c>
      <c r="B39" s="23" t="s">
        <v>183</v>
      </c>
      <c r="C39" s="12" t="s">
        <v>19</v>
      </c>
      <c r="D39" s="12" t="s">
        <v>19</v>
      </c>
      <c r="E39" s="12" t="s">
        <v>19</v>
      </c>
      <c r="F39" s="75">
        <f t="shared" ref="F39:F42" si="18">G39+H39+I39</f>
        <v>56.9</v>
      </c>
      <c r="G39" s="75">
        <v>56.9</v>
      </c>
      <c r="H39" s="75">
        <v>0</v>
      </c>
      <c r="I39" s="75">
        <v>0</v>
      </c>
      <c r="J39" s="75">
        <f t="shared" ref="J39:J42" si="19">K39+L39+M39</f>
        <v>35</v>
      </c>
      <c r="K39" s="75">
        <v>35</v>
      </c>
      <c r="L39" s="75">
        <v>0</v>
      </c>
      <c r="M39" s="75">
        <v>0</v>
      </c>
      <c r="N39" s="76">
        <f t="shared" si="17"/>
        <v>0.61499999999999999</v>
      </c>
    </row>
    <row r="40" spans="1:14" ht="33">
      <c r="A40" s="9" t="s">
        <v>187</v>
      </c>
      <c r="B40" s="23" t="s">
        <v>188</v>
      </c>
      <c r="C40" s="12" t="s">
        <v>19</v>
      </c>
      <c r="D40" s="12" t="s">
        <v>19</v>
      </c>
      <c r="E40" s="12" t="s">
        <v>19</v>
      </c>
      <c r="F40" s="75">
        <f t="shared" si="18"/>
        <v>1.3</v>
      </c>
      <c r="G40" s="75">
        <v>1.3</v>
      </c>
      <c r="H40" s="75">
        <v>0</v>
      </c>
      <c r="I40" s="75">
        <v>0</v>
      </c>
      <c r="J40" s="75">
        <f t="shared" si="19"/>
        <v>1.3</v>
      </c>
      <c r="K40" s="75">
        <v>1.3</v>
      </c>
      <c r="L40" s="75">
        <v>0</v>
      </c>
      <c r="M40" s="75">
        <v>0</v>
      </c>
      <c r="N40" s="76">
        <f t="shared" si="17"/>
        <v>1</v>
      </c>
    </row>
    <row r="41" spans="1:14" ht="33">
      <c r="A41" s="9" t="s">
        <v>192</v>
      </c>
      <c r="B41" s="23" t="s">
        <v>193</v>
      </c>
      <c r="C41" s="12" t="s">
        <v>19</v>
      </c>
      <c r="D41" s="12" t="s">
        <v>19</v>
      </c>
      <c r="E41" s="12" t="s">
        <v>19</v>
      </c>
      <c r="F41" s="75">
        <f t="shared" si="18"/>
        <v>32.200000000000003</v>
      </c>
      <c r="G41" s="75">
        <v>32.200000000000003</v>
      </c>
      <c r="H41" s="75">
        <v>0</v>
      </c>
      <c r="I41" s="75">
        <v>0</v>
      </c>
      <c r="J41" s="75">
        <f t="shared" si="19"/>
        <v>16</v>
      </c>
      <c r="K41" s="75">
        <v>16</v>
      </c>
      <c r="L41" s="75">
        <v>0</v>
      </c>
      <c r="M41" s="75">
        <v>0</v>
      </c>
      <c r="N41" s="76">
        <f t="shared" si="17"/>
        <v>0.497</v>
      </c>
    </row>
    <row r="42" spans="1:14" ht="33">
      <c r="A42" s="9" t="s">
        <v>206</v>
      </c>
      <c r="B42" s="23" t="s">
        <v>207</v>
      </c>
      <c r="C42" s="12" t="s">
        <v>19</v>
      </c>
      <c r="D42" s="12" t="s">
        <v>19</v>
      </c>
      <c r="E42" s="12" t="s">
        <v>19</v>
      </c>
      <c r="F42" s="75">
        <f t="shared" si="18"/>
        <v>18</v>
      </c>
      <c r="G42" s="75">
        <v>18</v>
      </c>
      <c r="H42" s="75">
        <v>0</v>
      </c>
      <c r="I42" s="75">
        <v>0</v>
      </c>
      <c r="J42" s="75">
        <f t="shared" si="19"/>
        <v>10.3</v>
      </c>
      <c r="K42" s="75">
        <v>10.3</v>
      </c>
      <c r="L42" s="75">
        <v>0</v>
      </c>
      <c r="M42" s="75">
        <v>0</v>
      </c>
      <c r="N42" s="76">
        <f t="shared" si="17"/>
        <v>0.57199999999999995</v>
      </c>
    </row>
    <row r="44" spans="1:14" ht="33">
      <c r="A44" s="1" t="s">
        <v>210</v>
      </c>
      <c r="B44" s="27" t="s">
        <v>211</v>
      </c>
      <c r="C44" s="2" t="s">
        <v>19</v>
      </c>
      <c r="D44" s="2" t="s">
        <v>19</v>
      </c>
      <c r="E44" s="2" t="s">
        <v>19</v>
      </c>
      <c r="F44" s="28">
        <f>F46+F45</f>
        <v>1184.7</v>
      </c>
      <c r="G44" s="28">
        <f t="shared" ref="G44:M44" si="20">G46+G45</f>
        <v>28.5</v>
      </c>
      <c r="H44" s="28">
        <f t="shared" si="20"/>
        <v>960.5</v>
      </c>
      <c r="I44" s="28">
        <f t="shared" si="20"/>
        <v>195.7</v>
      </c>
      <c r="J44" s="28">
        <f t="shared" si="20"/>
        <v>232.7</v>
      </c>
      <c r="K44" s="28">
        <f t="shared" si="20"/>
        <v>6.8</v>
      </c>
      <c r="L44" s="28">
        <f t="shared" si="20"/>
        <v>220.8</v>
      </c>
      <c r="M44" s="28">
        <f t="shared" si="20"/>
        <v>5.0999999999999996</v>
      </c>
      <c r="N44" s="34">
        <f>J44/F44</f>
        <v>0.19600000000000001</v>
      </c>
    </row>
    <row r="45" spans="1:14" ht="33">
      <c r="A45" s="9" t="s">
        <v>212</v>
      </c>
      <c r="B45" s="23" t="s">
        <v>213</v>
      </c>
      <c r="C45" s="12" t="s">
        <v>19</v>
      </c>
      <c r="D45" s="12" t="s">
        <v>19</v>
      </c>
      <c r="E45" s="12" t="s">
        <v>19</v>
      </c>
      <c r="F45" s="29">
        <f>G45+H45+I45</f>
        <v>468.5</v>
      </c>
      <c r="G45" s="82">
        <v>12.8</v>
      </c>
      <c r="H45" s="82">
        <v>452.7</v>
      </c>
      <c r="I45" s="82">
        <v>3</v>
      </c>
      <c r="J45" s="29">
        <f>K45+L45+M45</f>
        <v>206.5</v>
      </c>
      <c r="K45" s="82">
        <v>6.1</v>
      </c>
      <c r="L45" s="82">
        <v>198.7</v>
      </c>
      <c r="M45" s="82">
        <v>1.7</v>
      </c>
      <c r="N45" s="35">
        <v>0.441</v>
      </c>
    </row>
    <row r="46" spans="1:14" ht="49.5">
      <c r="A46" s="9" t="s">
        <v>218</v>
      </c>
      <c r="B46" s="23" t="s">
        <v>219</v>
      </c>
      <c r="C46" s="12" t="s">
        <v>19</v>
      </c>
      <c r="D46" s="12" t="s">
        <v>19</v>
      </c>
      <c r="E46" s="12" t="s">
        <v>19</v>
      </c>
      <c r="F46" s="29">
        <f>G46+H46+I46</f>
        <v>716.2</v>
      </c>
      <c r="G46" s="82">
        <v>15.7</v>
      </c>
      <c r="H46" s="82">
        <v>507.8</v>
      </c>
      <c r="I46" s="82">
        <v>192.7</v>
      </c>
      <c r="J46" s="29">
        <f>K46+L46+M46</f>
        <v>26.2</v>
      </c>
      <c r="K46" s="82">
        <v>0.7</v>
      </c>
      <c r="L46" s="82">
        <v>22.1</v>
      </c>
      <c r="M46" s="82">
        <v>3.4</v>
      </c>
      <c r="N46" s="35">
        <v>3.6999999999999998E-2</v>
      </c>
    </row>
    <row r="48" spans="1:14" ht="16.5">
      <c r="A48" s="1" t="s">
        <v>228</v>
      </c>
      <c r="B48" s="26" t="s">
        <v>229</v>
      </c>
      <c r="C48" s="2" t="s">
        <v>19</v>
      </c>
      <c r="D48" s="2" t="s">
        <v>19</v>
      </c>
      <c r="E48" s="2" t="s">
        <v>19</v>
      </c>
      <c r="F48" s="28">
        <f>SUM(F49:F52)</f>
        <v>179.9</v>
      </c>
      <c r="G48" s="28">
        <f t="shared" ref="G48:M48" si="21">SUM(G49:G52)</f>
        <v>38.200000000000003</v>
      </c>
      <c r="H48" s="28">
        <f t="shared" si="21"/>
        <v>125.4</v>
      </c>
      <c r="I48" s="28">
        <f t="shared" si="21"/>
        <v>16.3</v>
      </c>
      <c r="J48" s="28">
        <f t="shared" si="21"/>
        <v>64.599999999999994</v>
      </c>
      <c r="K48" s="28">
        <f t="shared" si="21"/>
        <v>1.7</v>
      </c>
      <c r="L48" s="28">
        <f t="shared" si="21"/>
        <v>61.6</v>
      </c>
      <c r="M48" s="28">
        <f t="shared" si="21"/>
        <v>1.3</v>
      </c>
      <c r="N48" s="34">
        <f>J48/F48</f>
        <v>0.35899999999999999</v>
      </c>
    </row>
    <row r="49" spans="1:14" ht="33">
      <c r="A49" s="9" t="s">
        <v>230</v>
      </c>
      <c r="B49" s="23" t="s">
        <v>231</v>
      </c>
      <c r="C49" s="12" t="s">
        <v>19</v>
      </c>
      <c r="D49" s="12" t="s">
        <v>19</v>
      </c>
      <c r="E49" s="12" t="s">
        <v>19</v>
      </c>
      <c r="F49" s="29">
        <f>G49+H49+I49</f>
        <v>97.2</v>
      </c>
      <c r="G49" s="82">
        <v>0.1</v>
      </c>
      <c r="H49" s="82">
        <v>97.1</v>
      </c>
      <c r="I49" s="82">
        <v>0</v>
      </c>
      <c r="J49" s="29">
        <f>K49+L49+M49</f>
        <v>59.2</v>
      </c>
      <c r="K49" s="82">
        <v>0.1</v>
      </c>
      <c r="L49" s="82">
        <v>59.1</v>
      </c>
      <c r="M49" s="82">
        <v>0</v>
      </c>
      <c r="N49" s="76">
        <f t="shared" ref="N49:N52" si="22">J49/F49</f>
        <v>0.60899999999999999</v>
      </c>
    </row>
    <row r="50" spans="1:14" ht="33">
      <c r="A50" s="9" t="s">
        <v>239</v>
      </c>
      <c r="B50" s="23" t="s">
        <v>240</v>
      </c>
      <c r="C50" s="12" t="s">
        <v>19</v>
      </c>
      <c r="D50" s="12" t="s">
        <v>19</v>
      </c>
      <c r="E50" s="12" t="s">
        <v>19</v>
      </c>
      <c r="F50" s="29">
        <f t="shared" ref="F50:F52" si="23">G50+H50+I50</f>
        <v>62.1</v>
      </c>
      <c r="G50" s="82">
        <v>18.3</v>
      </c>
      <c r="H50" s="82">
        <v>28.3</v>
      </c>
      <c r="I50" s="82">
        <v>15.5</v>
      </c>
      <c r="J50" s="29">
        <f t="shared" ref="J50:J52" si="24">K50+L50+M50</f>
        <v>5.4</v>
      </c>
      <c r="K50" s="82">
        <v>1.6</v>
      </c>
      <c r="L50" s="82">
        <v>2.5</v>
      </c>
      <c r="M50" s="82">
        <v>1.3</v>
      </c>
      <c r="N50" s="76">
        <f t="shared" si="22"/>
        <v>8.6999999999999994E-2</v>
      </c>
    </row>
    <row r="51" spans="1:14" ht="49.5">
      <c r="A51" s="9" t="s">
        <v>244</v>
      </c>
      <c r="B51" s="23" t="s">
        <v>245</v>
      </c>
      <c r="C51" s="12" t="s">
        <v>19</v>
      </c>
      <c r="D51" s="12" t="s">
        <v>19</v>
      </c>
      <c r="E51" s="12" t="s">
        <v>19</v>
      </c>
      <c r="F51" s="29">
        <f t="shared" si="23"/>
        <v>10.8</v>
      </c>
      <c r="G51" s="82">
        <v>10</v>
      </c>
      <c r="H51" s="82">
        <v>0</v>
      </c>
      <c r="I51" s="82">
        <v>0.8</v>
      </c>
      <c r="J51" s="29">
        <f t="shared" si="24"/>
        <v>0</v>
      </c>
      <c r="K51" s="82">
        <v>0</v>
      </c>
      <c r="L51" s="82">
        <v>0</v>
      </c>
      <c r="M51" s="82">
        <v>0</v>
      </c>
      <c r="N51" s="76">
        <f t="shared" si="22"/>
        <v>0</v>
      </c>
    </row>
    <row r="52" spans="1:14" ht="33">
      <c r="A52" s="9" t="s">
        <v>249</v>
      </c>
      <c r="B52" s="23" t="s">
        <v>250</v>
      </c>
      <c r="C52" s="12" t="s">
        <v>19</v>
      </c>
      <c r="D52" s="12" t="s">
        <v>19</v>
      </c>
      <c r="E52" s="12" t="s">
        <v>19</v>
      </c>
      <c r="F52" s="29">
        <f t="shared" si="23"/>
        <v>9.8000000000000007</v>
      </c>
      <c r="G52" s="82">
        <v>9.8000000000000007</v>
      </c>
      <c r="H52" s="82">
        <v>0</v>
      </c>
      <c r="I52" s="82">
        <v>0</v>
      </c>
      <c r="J52" s="29">
        <f t="shared" si="24"/>
        <v>0</v>
      </c>
      <c r="K52" s="82">
        <v>0</v>
      </c>
      <c r="L52" s="82">
        <v>0</v>
      </c>
      <c r="M52" s="82">
        <v>0</v>
      </c>
      <c r="N52" s="76">
        <f t="shared" si="22"/>
        <v>0</v>
      </c>
    </row>
    <row r="54" spans="1:14" ht="33">
      <c r="A54" s="1" t="s">
        <v>253</v>
      </c>
      <c r="B54" s="27" t="s">
        <v>254</v>
      </c>
      <c r="C54" s="2" t="s">
        <v>19</v>
      </c>
      <c r="D54" s="2" t="s">
        <v>19</v>
      </c>
      <c r="E54" s="2" t="s">
        <v>19</v>
      </c>
      <c r="F54" s="28">
        <f>F55</f>
        <v>2560.5</v>
      </c>
      <c r="G54" s="28">
        <f t="shared" ref="G54:M54" si="25">G55</f>
        <v>523</v>
      </c>
      <c r="H54" s="28">
        <f t="shared" si="25"/>
        <v>1768.6</v>
      </c>
      <c r="I54" s="28">
        <f t="shared" si="25"/>
        <v>268.89999999999998</v>
      </c>
      <c r="J54" s="28">
        <f t="shared" si="25"/>
        <v>2534.8000000000002</v>
      </c>
      <c r="K54" s="28">
        <f t="shared" si="25"/>
        <v>519.70000000000005</v>
      </c>
      <c r="L54" s="28">
        <f t="shared" si="25"/>
        <v>1768.6</v>
      </c>
      <c r="M54" s="28">
        <f t="shared" si="25"/>
        <v>246.5</v>
      </c>
      <c r="N54" s="34">
        <f>J54/F54</f>
        <v>0.99</v>
      </c>
    </row>
    <row r="55" spans="1:14" ht="33">
      <c r="A55" s="9" t="s">
        <v>255</v>
      </c>
      <c r="B55" s="23" t="s">
        <v>256</v>
      </c>
      <c r="C55" s="12" t="s">
        <v>19</v>
      </c>
      <c r="D55" s="12" t="s">
        <v>19</v>
      </c>
      <c r="E55" s="12" t="s">
        <v>19</v>
      </c>
      <c r="F55" s="29">
        <f>G55+H55+I55</f>
        <v>2560.5</v>
      </c>
      <c r="G55" s="29">
        <v>523</v>
      </c>
      <c r="H55" s="29">
        <v>1768.6</v>
      </c>
      <c r="I55" s="29">
        <v>268.89999999999998</v>
      </c>
      <c r="J55" s="29">
        <f>K55+L55+M55</f>
        <v>2534.8000000000002</v>
      </c>
      <c r="K55" s="29">
        <v>519.70000000000005</v>
      </c>
      <c r="L55" s="29">
        <v>1768.6</v>
      </c>
      <c r="M55" s="29">
        <v>246.5</v>
      </c>
      <c r="N55" s="35">
        <v>0.99</v>
      </c>
    </row>
    <row r="57" spans="1:14" ht="16.5">
      <c r="A57" s="1" t="s">
        <v>260</v>
      </c>
      <c r="B57" s="26" t="s">
        <v>261</v>
      </c>
      <c r="C57" s="2" t="s">
        <v>19</v>
      </c>
      <c r="D57" s="2" t="s">
        <v>19</v>
      </c>
      <c r="E57" s="2" t="s">
        <v>19</v>
      </c>
      <c r="F57" s="28">
        <f>F58+F59+F60</f>
        <v>148</v>
      </c>
      <c r="G57" s="28">
        <f t="shared" ref="G57:M57" si="26">G58+G59+G60</f>
        <v>45.9</v>
      </c>
      <c r="H57" s="28">
        <f t="shared" si="26"/>
        <v>86.5</v>
      </c>
      <c r="I57" s="28">
        <f t="shared" si="26"/>
        <v>15.6</v>
      </c>
      <c r="J57" s="28">
        <f t="shared" si="26"/>
        <v>103.1</v>
      </c>
      <c r="K57" s="28">
        <f t="shared" si="26"/>
        <v>40.299999999999997</v>
      </c>
      <c r="L57" s="28">
        <f t="shared" si="26"/>
        <v>56.9</v>
      </c>
      <c r="M57" s="28">
        <f t="shared" si="26"/>
        <v>5.9</v>
      </c>
      <c r="N57" s="34">
        <f>J57/F57</f>
        <v>0.69699999999999995</v>
      </c>
    </row>
    <row r="58" spans="1:14" ht="33">
      <c r="A58" s="9" t="s">
        <v>262</v>
      </c>
      <c r="B58" s="23" t="s">
        <v>263</v>
      </c>
      <c r="C58" s="12" t="s">
        <v>19</v>
      </c>
      <c r="D58" s="12" t="s">
        <v>19</v>
      </c>
      <c r="E58" s="12" t="s">
        <v>19</v>
      </c>
      <c r="F58" s="29">
        <f>G58+H58+I58</f>
        <v>101.3</v>
      </c>
      <c r="G58" s="29">
        <v>7.7</v>
      </c>
      <c r="H58" s="29">
        <v>78</v>
      </c>
      <c r="I58" s="29">
        <v>15.6</v>
      </c>
      <c r="J58" s="29">
        <f>K58+L58+M58</f>
        <v>56.8</v>
      </c>
      <c r="K58" s="29">
        <v>2.6</v>
      </c>
      <c r="L58" s="29">
        <v>48.3</v>
      </c>
      <c r="M58" s="29">
        <v>5.9</v>
      </c>
      <c r="N58" s="76">
        <f t="shared" ref="N58:N60" si="27">J58/F58</f>
        <v>0.56100000000000005</v>
      </c>
    </row>
    <row r="59" spans="1:14" ht="33">
      <c r="A59" s="9" t="s">
        <v>268</v>
      </c>
      <c r="B59" s="23" t="s">
        <v>269</v>
      </c>
      <c r="C59" s="12" t="s">
        <v>19</v>
      </c>
      <c r="D59" s="12" t="s">
        <v>19</v>
      </c>
      <c r="E59" s="12" t="s">
        <v>19</v>
      </c>
      <c r="F59" s="29">
        <f t="shared" ref="F59:F60" si="28">G59+H59+I59</f>
        <v>8.5</v>
      </c>
      <c r="G59" s="29">
        <v>0</v>
      </c>
      <c r="H59" s="29">
        <v>8.5</v>
      </c>
      <c r="I59" s="29">
        <v>0</v>
      </c>
      <c r="J59" s="29">
        <f t="shared" ref="J59:J60" si="29">K59+L59+M59</f>
        <v>8.6</v>
      </c>
      <c r="K59" s="29">
        <v>0</v>
      </c>
      <c r="L59" s="29">
        <v>8.6</v>
      </c>
      <c r="M59" s="29">
        <v>0</v>
      </c>
      <c r="N59" s="76">
        <f t="shared" si="27"/>
        <v>1.012</v>
      </c>
    </row>
    <row r="60" spans="1:14" ht="33">
      <c r="A60" s="9" t="s">
        <v>272</v>
      </c>
      <c r="B60" s="23" t="s">
        <v>273</v>
      </c>
      <c r="C60" s="12" t="s">
        <v>19</v>
      </c>
      <c r="D60" s="12" t="s">
        <v>19</v>
      </c>
      <c r="E60" s="12" t="s">
        <v>19</v>
      </c>
      <c r="F60" s="29">
        <f t="shared" si="28"/>
        <v>38.200000000000003</v>
      </c>
      <c r="G60" s="29">
        <v>38.200000000000003</v>
      </c>
      <c r="H60" s="29">
        <v>0</v>
      </c>
      <c r="I60" s="29">
        <v>0</v>
      </c>
      <c r="J60" s="29">
        <f t="shared" si="29"/>
        <v>37.700000000000003</v>
      </c>
      <c r="K60" s="29">
        <v>37.700000000000003</v>
      </c>
      <c r="L60" s="29">
        <v>0</v>
      </c>
      <c r="M60" s="29">
        <v>0</v>
      </c>
      <c r="N60" s="76">
        <f t="shared" si="27"/>
        <v>0.98699999999999999</v>
      </c>
    </row>
    <row r="64" spans="1:14" ht="66">
      <c r="A64" s="1" t="s">
        <v>278</v>
      </c>
      <c r="B64" s="27" t="s">
        <v>279</v>
      </c>
      <c r="C64" s="2" t="s">
        <v>19</v>
      </c>
      <c r="D64" s="2" t="s">
        <v>19</v>
      </c>
      <c r="E64" s="2" t="s">
        <v>19</v>
      </c>
      <c r="F64" s="28">
        <f>SUM(F65:F68)</f>
        <v>213.7</v>
      </c>
      <c r="G64" s="28">
        <f t="shared" ref="G64:M64" si="30">SUM(G65:G68)</f>
        <v>7.7</v>
      </c>
      <c r="H64" s="28">
        <f t="shared" si="30"/>
        <v>205.5</v>
      </c>
      <c r="I64" s="28">
        <f t="shared" si="30"/>
        <v>0.5</v>
      </c>
      <c r="J64" s="28">
        <f t="shared" si="30"/>
        <v>197.5</v>
      </c>
      <c r="K64" s="28">
        <f t="shared" si="30"/>
        <v>6.4</v>
      </c>
      <c r="L64" s="28">
        <f t="shared" si="30"/>
        <v>191.1</v>
      </c>
      <c r="M64" s="28">
        <f t="shared" si="30"/>
        <v>0</v>
      </c>
      <c r="N64" s="34">
        <f>J64/F64</f>
        <v>0.92400000000000004</v>
      </c>
    </row>
    <row r="65" spans="1:14" ht="82.5">
      <c r="A65" s="11" t="s">
        <v>280</v>
      </c>
      <c r="B65" s="24" t="s">
        <v>281</v>
      </c>
      <c r="C65" s="13" t="s">
        <v>19</v>
      </c>
      <c r="D65" s="13" t="s">
        <v>19</v>
      </c>
      <c r="E65" s="13" t="s">
        <v>19</v>
      </c>
      <c r="F65" s="78">
        <f>G65+H65+I65</f>
        <v>16.399999999999999</v>
      </c>
      <c r="G65" s="78">
        <v>0.5</v>
      </c>
      <c r="H65" s="78">
        <v>15.9</v>
      </c>
      <c r="I65" s="78">
        <v>0</v>
      </c>
      <c r="J65" s="78">
        <f>K65+L65+M65</f>
        <v>12.3</v>
      </c>
      <c r="K65" s="78">
        <v>0.4</v>
      </c>
      <c r="L65" s="78">
        <v>11.9</v>
      </c>
      <c r="M65" s="78">
        <v>0</v>
      </c>
      <c r="N65" s="76">
        <f t="shared" ref="N65:N68" si="31">J65/F65</f>
        <v>0.75</v>
      </c>
    </row>
    <row r="66" spans="1:14" ht="49.5">
      <c r="A66" s="11" t="s">
        <v>286</v>
      </c>
      <c r="B66" s="24" t="s">
        <v>287</v>
      </c>
      <c r="C66" s="13" t="s">
        <v>19</v>
      </c>
      <c r="D66" s="13" t="s">
        <v>19</v>
      </c>
      <c r="E66" s="13" t="s">
        <v>19</v>
      </c>
      <c r="F66" s="78">
        <f t="shared" ref="F66:F68" si="32">G66+H66+I66</f>
        <v>160.9</v>
      </c>
      <c r="G66" s="78">
        <v>4.8</v>
      </c>
      <c r="H66" s="78">
        <v>155.6</v>
      </c>
      <c r="I66" s="78">
        <v>0.5</v>
      </c>
      <c r="J66" s="78">
        <f t="shared" ref="J66:J68" si="33">K66+L66+M66</f>
        <v>150.19999999999999</v>
      </c>
      <c r="K66" s="78">
        <v>4.5</v>
      </c>
      <c r="L66" s="78">
        <v>145.69999999999999</v>
      </c>
      <c r="M66" s="78">
        <v>0</v>
      </c>
      <c r="N66" s="76">
        <f t="shared" si="31"/>
        <v>0.93300000000000005</v>
      </c>
    </row>
    <row r="67" spans="1:14" ht="33">
      <c r="A67" s="11" t="s">
        <v>295</v>
      </c>
      <c r="B67" s="24" t="s">
        <v>296</v>
      </c>
      <c r="C67" s="13" t="s">
        <v>19</v>
      </c>
      <c r="D67" s="14" t="s">
        <v>19</v>
      </c>
      <c r="E67" s="13" t="s">
        <v>19</v>
      </c>
      <c r="F67" s="78">
        <f t="shared" si="32"/>
        <v>9.1</v>
      </c>
      <c r="G67" s="78">
        <v>0.3</v>
      </c>
      <c r="H67" s="78">
        <v>8.8000000000000007</v>
      </c>
      <c r="I67" s="78">
        <v>0</v>
      </c>
      <c r="J67" s="78">
        <f t="shared" si="33"/>
        <v>9.1</v>
      </c>
      <c r="K67" s="78">
        <v>0.3</v>
      </c>
      <c r="L67" s="78">
        <v>8.8000000000000007</v>
      </c>
      <c r="M67" s="78">
        <v>0</v>
      </c>
      <c r="N67" s="76">
        <f t="shared" si="31"/>
        <v>1</v>
      </c>
    </row>
    <row r="68" spans="1:14" ht="49.5">
      <c r="A68" s="11" t="s">
        <v>298</v>
      </c>
      <c r="B68" s="24" t="s">
        <v>299</v>
      </c>
      <c r="C68" s="13" t="s">
        <v>19</v>
      </c>
      <c r="D68" s="14" t="s">
        <v>19</v>
      </c>
      <c r="E68" s="13" t="s">
        <v>19</v>
      </c>
      <c r="F68" s="78">
        <f t="shared" si="32"/>
        <v>27.3</v>
      </c>
      <c r="G68" s="78">
        <v>2.1</v>
      </c>
      <c r="H68" s="78">
        <v>25.2</v>
      </c>
      <c r="I68" s="78">
        <v>0</v>
      </c>
      <c r="J68" s="78">
        <f t="shared" si="33"/>
        <v>25.9</v>
      </c>
      <c r="K68" s="78">
        <v>1.2</v>
      </c>
      <c r="L68" s="78">
        <v>24.7</v>
      </c>
      <c r="M68" s="78">
        <v>0</v>
      </c>
      <c r="N68" s="76">
        <f t="shared" si="31"/>
        <v>0.94899999999999995</v>
      </c>
    </row>
    <row r="70" spans="1:14" ht="49.5">
      <c r="A70" s="1" t="s">
        <v>308</v>
      </c>
      <c r="B70" s="27" t="s">
        <v>309</v>
      </c>
      <c r="C70" s="2" t="s">
        <v>19</v>
      </c>
      <c r="D70" s="2" t="s">
        <v>19</v>
      </c>
      <c r="E70" s="2" t="s">
        <v>19</v>
      </c>
      <c r="F70" s="28">
        <f>F72+F71</f>
        <v>85</v>
      </c>
      <c r="G70" s="28">
        <f t="shared" ref="G70:M70" si="34">G72+G71</f>
        <v>11.7</v>
      </c>
      <c r="H70" s="28">
        <f t="shared" si="34"/>
        <v>73.3</v>
      </c>
      <c r="I70" s="28">
        <f t="shared" si="34"/>
        <v>0</v>
      </c>
      <c r="J70" s="28">
        <f t="shared" si="34"/>
        <v>16</v>
      </c>
      <c r="K70" s="28">
        <f t="shared" si="34"/>
        <v>9.5</v>
      </c>
      <c r="L70" s="28">
        <f t="shared" si="34"/>
        <v>6.5</v>
      </c>
      <c r="M70" s="28">
        <f t="shared" si="34"/>
        <v>0</v>
      </c>
      <c r="N70" s="34">
        <f>J70/F70</f>
        <v>0.188</v>
      </c>
    </row>
    <row r="71" spans="1:14" ht="66">
      <c r="A71" s="9" t="s">
        <v>310</v>
      </c>
      <c r="B71" s="23" t="s">
        <v>311</v>
      </c>
      <c r="C71" s="12" t="s">
        <v>19</v>
      </c>
      <c r="D71" s="12" t="s">
        <v>19</v>
      </c>
      <c r="E71" s="12" t="s">
        <v>19</v>
      </c>
      <c r="F71" s="29">
        <f>G71+H71+I71</f>
        <v>38.299999999999997</v>
      </c>
      <c r="G71" s="82">
        <v>9.4</v>
      </c>
      <c r="H71" s="82">
        <v>28.9</v>
      </c>
      <c r="I71" s="82">
        <v>0</v>
      </c>
      <c r="J71" s="29">
        <f>K71+L71+M71</f>
        <v>13.9</v>
      </c>
      <c r="K71" s="82">
        <v>9.4</v>
      </c>
      <c r="L71" s="82">
        <v>4.5</v>
      </c>
      <c r="M71" s="82">
        <v>0</v>
      </c>
      <c r="N71" s="76">
        <f t="shared" ref="N71:N72" si="35">J71/F71</f>
        <v>0.36299999999999999</v>
      </c>
    </row>
    <row r="72" spans="1:14" ht="66">
      <c r="A72" s="46" t="s">
        <v>317</v>
      </c>
      <c r="B72" s="23" t="s">
        <v>318</v>
      </c>
      <c r="C72" s="12" t="s">
        <v>19</v>
      </c>
      <c r="D72" s="12" t="s">
        <v>19</v>
      </c>
      <c r="E72" s="47" t="s">
        <v>19</v>
      </c>
      <c r="F72" s="29">
        <f>G72+H72+I72</f>
        <v>46.7</v>
      </c>
      <c r="G72" s="82">
        <v>2.2999999999999998</v>
      </c>
      <c r="H72" s="82">
        <v>44.4</v>
      </c>
      <c r="I72" s="82">
        <v>0</v>
      </c>
      <c r="J72" s="29">
        <f>K72+L72+M72</f>
        <v>2.1</v>
      </c>
      <c r="K72" s="82">
        <v>0.1</v>
      </c>
      <c r="L72" s="82">
        <v>2</v>
      </c>
      <c r="M72" s="82">
        <v>0</v>
      </c>
      <c r="N72" s="76">
        <f t="shared" si="35"/>
        <v>4.4999999999999998E-2</v>
      </c>
    </row>
  </sheetData>
  <mergeCells count="9">
    <mergeCell ref="N1:N3"/>
    <mergeCell ref="F2:I2"/>
    <mergeCell ref="J2:M2"/>
    <mergeCell ref="A1:A3"/>
    <mergeCell ref="B1:B3"/>
    <mergeCell ref="C1:C3"/>
    <mergeCell ref="D1:D3"/>
    <mergeCell ref="E1:E3"/>
    <mergeCell ref="F1:M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Лист1</vt:lpstr>
      <vt:lpstr>Лист4</vt:lpstr>
      <vt:lpstr>Лист2</vt:lpstr>
      <vt:lpstr>Лист3</vt:lpstr>
      <vt:lpstr>Лист5</vt:lpstr>
      <vt:lpstr>Лист6</vt:lpstr>
      <vt:lpstr>Лист1!Заголовки_для_печати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2019-12-02T02:06:54Z</dcterms:modified>
</cp:coreProperties>
</file>