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4" sheetId="7" r:id="rId2"/>
    <sheet name="Лист2" sheetId="8" r:id="rId3"/>
    <sheet name="Лист3" sheetId="11" r:id="rId4"/>
    <sheet name="Лист5" sheetId="12" r:id="rId5"/>
  </sheets>
  <definedNames>
    <definedName name="_xlnm._FilterDatabase" localSheetId="0" hidden="1">Лист1!$C$1:$C$206</definedName>
    <definedName name="_xlnm._FilterDatabase" localSheetId="3" hidden="1">Лист3!$A$4:$I$7</definedName>
    <definedName name="_xlnm.Print_Titles" localSheetId="0">Лист1!$4:$7</definedName>
  </definedNames>
  <calcPr calcId="125725" fullPrecision="0"/>
</workbook>
</file>

<file path=xl/calcChain.xml><?xml version="1.0" encoding="utf-8"?>
<calcChain xmlns="http://schemas.openxmlformats.org/spreadsheetml/2006/main">
  <c r="W9" i="1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W101"/>
  <c r="W102"/>
  <c r="W103"/>
  <c r="W104"/>
  <c r="W105"/>
  <c r="W106"/>
  <c r="W107"/>
  <c r="W108"/>
  <c r="W109"/>
  <c r="W110"/>
  <c r="W111"/>
  <c r="W112"/>
  <c r="W113"/>
  <c r="W114"/>
  <c r="W115"/>
  <c r="W116"/>
  <c r="W117"/>
  <c r="W118"/>
  <c r="W119"/>
  <c r="W120"/>
  <c r="W121"/>
  <c r="W122"/>
  <c r="W123"/>
  <c r="W124"/>
  <c r="W125"/>
  <c r="W126"/>
  <c r="W127"/>
  <c r="W128"/>
  <c r="W129"/>
  <c r="W130"/>
  <c r="W131"/>
  <c r="W132"/>
  <c r="W133"/>
  <c r="W134"/>
  <c r="W135"/>
  <c r="W136"/>
  <c r="W137"/>
  <c r="W138"/>
  <c r="W139"/>
  <c r="W140"/>
  <c r="W141"/>
  <c r="W142"/>
  <c r="W143"/>
  <c r="W144"/>
  <c r="W145"/>
  <c r="W146"/>
  <c r="W147"/>
  <c r="W148"/>
  <c r="W149"/>
  <c r="W150"/>
  <c r="W151"/>
  <c r="W152"/>
  <c r="W153"/>
  <c r="W154"/>
  <c r="W155"/>
  <c r="W156"/>
  <c r="W157"/>
  <c r="W158"/>
  <c r="W159"/>
  <c r="W160"/>
  <c r="W161"/>
  <c r="W162"/>
  <c r="W163"/>
  <c r="W164"/>
  <c r="W165"/>
  <c r="W166"/>
  <c r="W167"/>
  <c r="W168"/>
  <c r="W169"/>
  <c r="W170"/>
  <c r="W171"/>
  <c r="W172"/>
  <c r="W173"/>
  <c r="W174"/>
  <c r="W175"/>
  <c r="W176"/>
  <c r="W177"/>
  <c r="W178"/>
  <c r="W179"/>
  <c r="W180"/>
  <c r="W181"/>
  <c r="W182"/>
  <c r="W183"/>
  <c r="W184"/>
  <c r="W185"/>
  <c r="W186"/>
  <c r="W187"/>
  <c r="W188"/>
  <c r="W189"/>
  <c r="W190"/>
  <c r="W191"/>
  <c r="W192"/>
  <c r="W193"/>
  <c r="W194"/>
  <c r="W195"/>
  <c r="W196"/>
  <c r="W197"/>
  <c r="W198"/>
  <c r="W199"/>
  <c r="W200"/>
  <c r="W201"/>
  <c r="W202"/>
  <c r="W203"/>
  <c r="W204"/>
  <c r="W8"/>
  <c r="F2" i="12"/>
  <c r="E2"/>
  <c r="D2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3"/>
  <c r="C198"/>
  <c r="C195" s="1"/>
  <c r="C197"/>
  <c r="F195"/>
  <c r="E195"/>
  <c r="D195"/>
  <c r="C194"/>
  <c r="D193"/>
  <c r="C193" s="1"/>
  <c r="C192"/>
  <c r="C191"/>
  <c r="F189"/>
  <c r="E189"/>
  <c r="D189"/>
  <c r="N21" i="1"/>
  <c r="N166"/>
  <c r="N161"/>
  <c r="Q155"/>
  <c r="R155"/>
  <c r="N151"/>
  <c r="N134"/>
  <c r="N75"/>
  <c r="Q31"/>
  <c r="N30"/>
  <c r="N28"/>
  <c r="N25"/>
  <c r="J169"/>
  <c r="J166"/>
  <c r="J165"/>
  <c r="J161"/>
  <c r="J151"/>
  <c r="J141"/>
  <c r="J134"/>
  <c r="J87"/>
  <c r="J78"/>
  <c r="J76"/>
  <c r="J30"/>
  <c r="J29"/>
  <c r="J28"/>
  <c r="J25"/>
  <c r="J24"/>
  <c r="J21"/>
  <c r="J23"/>
  <c r="F31"/>
  <c r="F21"/>
  <c r="F9"/>
  <c r="F182"/>
  <c r="F169"/>
  <c r="F166"/>
  <c r="F165"/>
  <c r="F161"/>
  <c r="F151"/>
  <c r="F141"/>
  <c r="F134"/>
  <c r="F87"/>
  <c r="F78"/>
  <c r="F76"/>
  <c r="F74"/>
  <c r="F39"/>
  <c r="F38"/>
  <c r="F34"/>
  <c r="F35"/>
  <c r="F33"/>
  <c r="F24"/>
  <c r="F25"/>
  <c r="F26"/>
  <c r="F27"/>
  <c r="F28"/>
  <c r="F29"/>
  <c r="F30"/>
  <c r="F23"/>
  <c r="F13"/>
  <c r="F14"/>
  <c r="F15"/>
  <c r="F16"/>
  <c r="F17"/>
  <c r="F18"/>
  <c r="F19"/>
  <c r="F20"/>
  <c r="F12"/>
  <c r="Q159"/>
  <c r="I31"/>
  <c r="I136"/>
  <c r="M136"/>
  <c r="M201"/>
  <c r="C189" i="12" l="1"/>
  <c r="M195" i="1"/>
  <c r="N194"/>
  <c r="M188"/>
  <c r="M185"/>
  <c r="M179"/>
  <c r="M175"/>
  <c r="M170"/>
  <c r="M167"/>
  <c r="M163"/>
  <c r="O162"/>
  <c r="M159"/>
  <c r="M158" s="1"/>
  <c r="M155"/>
  <c r="M152"/>
  <c r="M149"/>
  <c r="M144"/>
  <c r="M132"/>
  <c r="M128"/>
  <c r="M118"/>
  <c r="M115"/>
  <c r="M112"/>
  <c r="M108"/>
  <c r="M105"/>
  <c r="M103"/>
  <c r="M92"/>
  <c r="M85"/>
  <c r="M79"/>
  <c r="M71"/>
  <c r="L71"/>
  <c r="M64"/>
  <c r="M60"/>
  <c r="M56"/>
  <c r="M52"/>
  <c r="M44"/>
  <c r="M40"/>
  <c r="M36"/>
  <c r="M31"/>
  <c r="M21"/>
  <c r="M10"/>
  <c r="N9"/>
  <c r="L10"/>
  <c r="K31"/>
  <c r="J31" s="1"/>
  <c r="L31"/>
  <c r="G36"/>
  <c r="H36"/>
  <c r="I36"/>
  <c r="J36"/>
  <c r="K36"/>
  <c r="L36"/>
  <c r="L40"/>
  <c r="N56"/>
  <c r="N60"/>
  <c r="N64"/>
  <c r="N115"/>
  <c r="N118"/>
  <c r="L128"/>
  <c r="N128"/>
  <c r="N132"/>
  <c r="N131" s="1"/>
  <c r="N149"/>
  <c r="N143" s="1"/>
  <c r="N152"/>
  <c r="N155"/>
  <c r="N158"/>
  <c r="N159"/>
  <c r="O159"/>
  <c r="P159"/>
  <c r="N163"/>
  <c r="N162" s="1"/>
  <c r="N167"/>
  <c r="N170"/>
  <c r="N174"/>
  <c r="N175"/>
  <c r="N179"/>
  <c r="O179"/>
  <c r="N185"/>
  <c r="O185"/>
  <c r="N195"/>
  <c r="I10"/>
  <c r="L203"/>
  <c r="L95"/>
  <c r="K95"/>
  <c r="L73"/>
  <c r="K73"/>
  <c r="L12"/>
  <c r="K12"/>
  <c r="K203"/>
  <c r="Q201"/>
  <c r="Q195"/>
  <c r="Q194" s="1"/>
  <c r="R194"/>
  <c r="Q185"/>
  <c r="Q179"/>
  <c r="Q175"/>
  <c r="Q174"/>
  <c r="Q170"/>
  <c r="Q167"/>
  <c r="Q163"/>
  <c r="Q162" s="1"/>
  <c r="Q158"/>
  <c r="R158"/>
  <c r="Q152"/>
  <c r="R152"/>
  <c r="Q149"/>
  <c r="Q144"/>
  <c r="Q143" s="1"/>
  <c r="R144"/>
  <c r="Q136"/>
  <c r="Q132"/>
  <c r="Q131" s="1"/>
  <c r="Q128"/>
  <c r="R128"/>
  <c r="R107" s="1"/>
  <c r="Q118"/>
  <c r="Q115"/>
  <c r="Q112"/>
  <c r="Q108"/>
  <c r="Q105"/>
  <c r="R105"/>
  <c r="Q103"/>
  <c r="Q92"/>
  <c r="Q85"/>
  <c r="Q79"/>
  <c r="Q71"/>
  <c r="Q70" s="1"/>
  <c r="R71"/>
  <c r="Q64"/>
  <c r="Q60"/>
  <c r="Q56"/>
  <c r="Q52"/>
  <c r="R52"/>
  <c r="Q44"/>
  <c r="Q40"/>
  <c r="Q36"/>
  <c r="Q21"/>
  <c r="Q9" s="1"/>
  <c r="Q10"/>
  <c r="I201"/>
  <c r="I194" s="1"/>
  <c r="I195"/>
  <c r="I188"/>
  <c r="J188"/>
  <c r="I185"/>
  <c r="J185"/>
  <c r="I179"/>
  <c r="J179"/>
  <c r="I175"/>
  <c r="J175"/>
  <c r="I170"/>
  <c r="J170"/>
  <c r="I167"/>
  <c r="I163"/>
  <c r="I162" s="1"/>
  <c r="I159"/>
  <c r="I158" s="1"/>
  <c r="I155"/>
  <c r="I152"/>
  <c r="J152"/>
  <c r="I149"/>
  <c r="J149"/>
  <c r="I144"/>
  <c r="I143" s="1"/>
  <c r="J136"/>
  <c r="I132"/>
  <c r="I131" s="1"/>
  <c r="I128"/>
  <c r="J128"/>
  <c r="K128"/>
  <c r="I118"/>
  <c r="I107" s="1"/>
  <c r="I115"/>
  <c r="J115"/>
  <c r="I112"/>
  <c r="I108"/>
  <c r="J108"/>
  <c r="I103"/>
  <c r="J103"/>
  <c r="I92"/>
  <c r="K92"/>
  <c r="I85"/>
  <c r="J85"/>
  <c r="I79"/>
  <c r="J79"/>
  <c r="I71"/>
  <c r="I64"/>
  <c r="I60"/>
  <c r="J60"/>
  <c r="K60"/>
  <c r="I56"/>
  <c r="J56"/>
  <c r="I52"/>
  <c r="J52"/>
  <c r="I44"/>
  <c r="I43"/>
  <c r="I40"/>
  <c r="I21"/>
  <c r="O161"/>
  <c r="K89"/>
  <c r="L18"/>
  <c r="K18"/>
  <c r="H14"/>
  <c r="G14"/>
  <c r="L151"/>
  <c r="K151"/>
  <c r="K88"/>
  <c r="L166"/>
  <c r="L66"/>
  <c r="L64" s="1"/>
  <c r="L87"/>
  <c r="K87"/>
  <c r="G173"/>
  <c r="L134"/>
  <c r="K134"/>
  <c r="K130"/>
  <c r="K101"/>
  <c r="L141"/>
  <c r="K142"/>
  <c r="K39"/>
  <c r="L38"/>
  <c r="H12"/>
  <c r="G12"/>
  <c r="K16"/>
  <c r="K104"/>
  <c r="L81"/>
  <c r="K81"/>
  <c r="K122"/>
  <c r="H161"/>
  <c r="L165"/>
  <c r="K165"/>
  <c r="K24"/>
  <c r="L23"/>
  <c r="K64"/>
  <c r="P64"/>
  <c r="T64"/>
  <c r="U64"/>
  <c r="F68"/>
  <c r="N68"/>
  <c r="R68"/>
  <c r="G67"/>
  <c r="H67"/>
  <c r="H64" s="1"/>
  <c r="L47"/>
  <c r="L13"/>
  <c r="K13"/>
  <c r="L204"/>
  <c r="K204"/>
  <c r="L178"/>
  <c r="K178"/>
  <c r="I174" l="1"/>
  <c r="M194"/>
  <c r="M174"/>
  <c r="M162"/>
  <c r="M143"/>
  <c r="M131"/>
  <c r="M107"/>
  <c r="M70"/>
  <c r="M43"/>
  <c r="I9"/>
  <c r="Q107"/>
  <c r="R70"/>
  <c r="Q43"/>
  <c r="J174"/>
  <c r="J143"/>
  <c r="I70"/>
  <c r="G19"/>
  <c r="K19"/>
  <c r="H13"/>
  <c r="G13"/>
  <c r="L147"/>
  <c r="K173"/>
  <c r="K98"/>
  <c r="J35"/>
  <c r="T31"/>
  <c r="S31"/>
  <c r="P31"/>
  <c r="H12" i="11"/>
  <c r="G12"/>
  <c r="H31" i="1"/>
  <c r="E12" i="11" s="1"/>
  <c r="G33" i="1"/>
  <c r="G31" s="1"/>
  <c r="D12" i="11" s="1"/>
  <c r="R106" i="1"/>
  <c r="N106"/>
  <c r="N105" s="1"/>
  <c r="J106"/>
  <c r="J105" s="1"/>
  <c r="F27" i="11" s="1"/>
  <c r="J27" s="1"/>
  <c r="F106" i="1"/>
  <c r="F105" s="1"/>
  <c r="C27" i="11" s="1"/>
  <c r="U105" i="1"/>
  <c r="T105"/>
  <c r="S105"/>
  <c r="P105"/>
  <c r="O105"/>
  <c r="L105"/>
  <c r="H27" i="11" s="1"/>
  <c r="K105" i="1"/>
  <c r="G27" i="11" s="1"/>
  <c r="H105" i="1"/>
  <c r="E27" i="11" s="1"/>
  <c r="G105" i="1"/>
  <c r="D27" i="11" s="1"/>
  <c r="G111" i="1"/>
  <c r="K25"/>
  <c r="K29"/>
  <c r="K30"/>
  <c r="K58"/>
  <c r="L192"/>
  <c r="K192"/>
  <c r="K114"/>
  <c r="G114"/>
  <c r="L58"/>
  <c r="J126"/>
  <c r="F126"/>
  <c r="I8" l="1"/>
  <c r="Q8"/>
  <c r="I27" i="11"/>
  <c r="R31" i="1"/>
  <c r="F12" i="11"/>
  <c r="J12" s="1"/>
  <c r="C12"/>
  <c r="V105" i="1"/>
  <c r="G2" i="8"/>
  <c r="F2"/>
  <c r="H195" i="1"/>
  <c r="E54" i="11" s="1"/>
  <c r="J198" i="1"/>
  <c r="F198"/>
  <c r="I12" i="11" l="1"/>
  <c r="J13" i="1"/>
  <c r="J12"/>
  <c r="R204"/>
  <c r="R203"/>
  <c r="R200"/>
  <c r="R199"/>
  <c r="R197"/>
  <c r="R193"/>
  <c r="R192"/>
  <c r="R191"/>
  <c r="R187"/>
  <c r="R185" s="1"/>
  <c r="R184"/>
  <c r="R183"/>
  <c r="R182"/>
  <c r="R181"/>
  <c r="R173"/>
  <c r="R172"/>
  <c r="R169"/>
  <c r="R167" s="1"/>
  <c r="R166"/>
  <c r="R165"/>
  <c r="R161"/>
  <c r="R159" s="1"/>
  <c r="R157"/>
  <c r="R154"/>
  <c r="R151"/>
  <c r="R149" s="1"/>
  <c r="R148"/>
  <c r="R147"/>
  <c r="R146"/>
  <c r="R142"/>
  <c r="R141"/>
  <c r="R140"/>
  <c r="R139"/>
  <c r="R138"/>
  <c r="R137"/>
  <c r="R135"/>
  <c r="R134"/>
  <c r="R130"/>
  <c r="R127"/>
  <c r="R125"/>
  <c r="R124"/>
  <c r="R123"/>
  <c r="R122"/>
  <c r="R121"/>
  <c r="R120"/>
  <c r="R117"/>
  <c r="R115" s="1"/>
  <c r="R114"/>
  <c r="R112" s="1"/>
  <c r="R111"/>
  <c r="R110"/>
  <c r="R109"/>
  <c r="R104"/>
  <c r="R103" s="1"/>
  <c r="R102"/>
  <c r="R101"/>
  <c r="R100"/>
  <c r="R99"/>
  <c r="R98"/>
  <c r="R97"/>
  <c r="R96"/>
  <c r="R95"/>
  <c r="R91"/>
  <c r="R90"/>
  <c r="R89"/>
  <c r="R88"/>
  <c r="R87"/>
  <c r="R84"/>
  <c r="R83"/>
  <c r="R82"/>
  <c r="R81"/>
  <c r="R78"/>
  <c r="R77"/>
  <c r="R75"/>
  <c r="R74"/>
  <c r="R73"/>
  <c r="R66"/>
  <c r="R63"/>
  <c r="R62"/>
  <c r="R59"/>
  <c r="R58"/>
  <c r="R55"/>
  <c r="R54"/>
  <c r="R51"/>
  <c r="R50"/>
  <c r="R49"/>
  <c r="R48"/>
  <c r="R47"/>
  <c r="R46"/>
  <c r="R42"/>
  <c r="R40" s="1"/>
  <c r="R39"/>
  <c r="R38"/>
  <c r="R34"/>
  <c r="R33"/>
  <c r="R30"/>
  <c r="R29"/>
  <c r="R28"/>
  <c r="R27"/>
  <c r="R26"/>
  <c r="R25"/>
  <c r="R24"/>
  <c r="R23"/>
  <c r="R19"/>
  <c r="R17"/>
  <c r="R16"/>
  <c r="R15"/>
  <c r="R13"/>
  <c r="R12"/>
  <c r="N204"/>
  <c r="N203"/>
  <c r="N200"/>
  <c r="N199"/>
  <c r="N197"/>
  <c r="N193"/>
  <c r="N192"/>
  <c r="N191"/>
  <c r="N187"/>
  <c r="N184"/>
  <c r="N183"/>
  <c r="N173"/>
  <c r="N172"/>
  <c r="N169"/>
  <c r="N165"/>
  <c r="N157"/>
  <c r="N154"/>
  <c r="N148"/>
  <c r="N147"/>
  <c r="N146"/>
  <c r="N142"/>
  <c r="N141"/>
  <c r="N140"/>
  <c r="N139"/>
  <c r="N138"/>
  <c r="N137"/>
  <c r="N135"/>
  <c r="N130"/>
  <c r="N127"/>
  <c r="N125"/>
  <c r="N124"/>
  <c r="N123"/>
  <c r="N122"/>
  <c r="N121"/>
  <c r="N120"/>
  <c r="N117"/>
  <c r="N114"/>
  <c r="N112" s="1"/>
  <c r="N111"/>
  <c r="N110"/>
  <c r="N109"/>
  <c r="N104"/>
  <c r="N103" s="1"/>
  <c r="N102"/>
  <c r="N101"/>
  <c r="N100"/>
  <c r="N99"/>
  <c r="N98"/>
  <c r="N97"/>
  <c r="N96"/>
  <c r="N95"/>
  <c r="N91"/>
  <c r="N90"/>
  <c r="N89"/>
  <c r="N88"/>
  <c r="N87"/>
  <c r="N84"/>
  <c r="N83"/>
  <c r="N82"/>
  <c r="N81"/>
  <c r="N78"/>
  <c r="N77"/>
  <c r="N76"/>
  <c r="N74"/>
  <c r="N73"/>
  <c r="N66"/>
  <c r="N63"/>
  <c r="N62"/>
  <c r="N59"/>
  <c r="N55"/>
  <c r="N54"/>
  <c r="N51"/>
  <c r="N50"/>
  <c r="N49"/>
  <c r="N48"/>
  <c r="N47"/>
  <c r="N46"/>
  <c r="N42"/>
  <c r="N40" s="1"/>
  <c r="N39"/>
  <c r="N38"/>
  <c r="N33"/>
  <c r="N29"/>
  <c r="N27"/>
  <c r="N26"/>
  <c r="N24"/>
  <c r="N23"/>
  <c r="N19"/>
  <c r="N17"/>
  <c r="N16"/>
  <c r="N15"/>
  <c r="N12"/>
  <c r="J204"/>
  <c r="J203"/>
  <c r="J199"/>
  <c r="J197"/>
  <c r="J193"/>
  <c r="J192"/>
  <c r="J191"/>
  <c r="J190"/>
  <c r="J187"/>
  <c r="J184"/>
  <c r="J183"/>
  <c r="J182"/>
  <c r="J181"/>
  <c r="J178"/>
  <c r="J177"/>
  <c r="J173"/>
  <c r="J172"/>
  <c r="J157"/>
  <c r="J154"/>
  <c r="J148"/>
  <c r="J147"/>
  <c r="J142"/>
  <c r="J140"/>
  <c r="J139"/>
  <c r="J138"/>
  <c r="J137"/>
  <c r="J135"/>
  <c r="J130"/>
  <c r="J127"/>
  <c r="J124"/>
  <c r="J123"/>
  <c r="J122"/>
  <c r="J121"/>
  <c r="J120"/>
  <c r="J117"/>
  <c r="J114"/>
  <c r="J111"/>
  <c r="J110"/>
  <c r="J104"/>
  <c r="F26" i="11" s="1"/>
  <c r="J102" i="1"/>
  <c r="J101"/>
  <c r="J100"/>
  <c r="J99"/>
  <c r="J98"/>
  <c r="J97"/>
  <c r="J96"/>
  <c r="J95"/>
  <c r="J92" s="1"/>
  <c r="J91"/>
  <c r="J90"/>
  <c r="J89"/>
  <c r="J88"/>
  <c r="J84"/>
  <c r="J83"/>
  <c r="J82"/>
  <c r="J81"/>
  <c r="J77"/>
  <c r="J75"/>
  <c r="J74"/>
  <c r="J73"/>
  <c r="J69"/>
  <c r="J67"/>
  <c r="J66"/>
  <c r="J63"/>
  <c r="J62"/>
  <c r="J59"/>
  <c r="J58"/>
  <c r="J55"/>
  <c r="J54"/>
  <c r="J51"/>
  <c r="J49"/>
  <c r="J47"/>
  <c r="J46"/>
  <c r="J42"/>
  <c r="J39"/>
  <c r="J38"/>
  <c r="J34"/>
  <c r="J33"/>
  <c r="J27"/>
  <c r="J26"/>
  <c r="J20"/>
  <c r="J19"/>
  <c r="J18"/>
  <c r="J17"/>
  <c r="J16"/>
  <c r="J15"/>
  <c r="U92"/>
  <c r="T92"/>
  <c r="P92"/>
  <c r="L92"/>
  <c r="H25" i="11" s="1"/>
  <c r="U108" i="1"/>
  <c r="T108"/>
  <c r="S108"/>
  <c r="P108"/>
  <c r="O108"/>
  <c r="L108"/>
  <c r="H29" i="11" s="1"/>
  <c r="U112" i="1"/>
  <c r="T112"/>
  <c r="S112"/>
  <c r="P112"/>
  <c r="O112"/>
  <c r="L112"/>
  <c r="H30" i="11" s="1"/>
  <c r="K112" i="1"/>
  <c r="G30" i="11" s="1"/>
  <c r="U115" i="1"/>
  <c r="T115"/>
  <c r="S115"/>
  <c r="P115"/>
  <c r="O115"/>
  <c r="L115"/>
  <c r="H31" i="11" s="1"/>
  <c r="K115" i="1"/>
  <c r="G31" i="11" s="1"/>
  <c r="H115" i="1"/>
  <c r="E31" i="11" s="1"/>
  <c r="G115" i="1"/>
  <c r="D31" i="11" s="1"/>
  <c r="U118" i="1"/>
  <c r="T118"/>
  <c r="S118"/>
  <c r="P118"/>
  <c r="O118"/>
  <c r="L118"/>
  <c r="H32" i="11" s="1"/>
  <c r="U128" i="1"/>
  <c r="T128"/>
  <c r="S128"/>
  <c r="P128"/>
  <c r="O128"/>
  <c r="H33" i="11"/>
  <c r="G33"/>
  <c r="H128" i="1"/>
  <c r="E33" i="11" s="1"/>
  <c r="G128" i="1"/>
  <c r="D33" i="11" s="1"/>
  <c r="U132" i="1"/>
  <c r="T132"/>
  <c r="S132"/>
  <c r="P132"/>
  <c r="O132"/>
  <c r="L132"/>
  <c r="H35" i="11" s="1"/>
  <c r="K132" i="1"/>
  <c r="G35" i="11" s="1"/>
  <c r="U136" i="1"/>
  <c r="T136"/>
  <c r="S136"/>
  <c r="P136"/>
  <c r="O136"/>
  <c r="L136"/>
  <c r="H36" i="11" s="1"/>
  <c r="K136" i="1"/>
  <c r="G36" i="11" s="1"/>
  <c r="U144" i="1"/>
  <c r="T144"/>
  <c r="S144"/>
  <c r="P144"/>
  <c r="O144"/>
  <c r="K144"/>
  <c r="G38" i="11" s="1"/>
  <c r="U152" i="1"/>
  <c r="T152"/>
  <c r="S152"/>
  <c r="P152"/>
  <c r="O152"/>
  <c r="L152"/>
  <c r="H40" i="11" s="1"/>
  <c r="K152" i="1"/>
  <c r="G40" i="11" s="1"/>
  <c r="U159" i="1"/>
  <c r="T159"/>
  <c r="S159"/>
  <c r="L159"/>
  <c r="K159"/>
  <c r="U163"/>
  <c r="T163"/>
  <c r="S163"/>
  <c r="P163"/>
  <c r="O163"/>
  <c r="L163"/>
  <c r="H45" i="11" s="1"/>
  <c r="K163" i="1"/>
  <c r="G45" i="11" s="1"/>
  <c r="U170" i="1"/>
  <c r="T170"/>
  <c r="S170"/>
  <c r="P170"/>
  <c r="O170"/>
  <c r="L170"/>
  <c r="H47" i="11" s="1"/>
  <c r="K170" i="1"/>
  <c r="G47" i="11" s="1"/>
  <c r="U175" i="1"/>
  <c r="L175"/>
  <c r="H49" i="11" s="1"/>
  <c r="K175" i="1"/>
  <c r="G49" i="11" s="1"/>
  <c r="U179" i="1"/>
  <c r="T179"/>
  <c r="S179"/>
  <c r="L179"/>
  <c r="H50" i="11" s="1"/>
  <c r="K179" i="1"/>
  <c r="G50" i="11" s="1"/>
  <c r="U188" i="1"/>
  <c r="T188"/>
  <c r="P188"/>
  <c r="L188"/>
  <c r="H52" i="11" s="1"/>
  <c r="K188" i="1"/>
  <c r="G52" i="11" s="1"/>
  <c r="U195" i="1"/>
  <c r="T195"/>
  <c r="S195"/>
  <c r="P195"/>
  <c r="O195"/>
  <c r="L195"/>
  <c r="H54" i="11" s="1"/>
  <c r="U201" i="1"/>
  <c r="T201"/>
  <c r="S201"/>
  <c r="P201"/>
  <c r="O201"/>
  <c r="L201"/>
  <c r="H55" i="11" s="1"/>
  <c r="K201" i="1"/>
  <c r="G55" i="11" s="1"/>
  <c r="K10" i="1"/>
  <c r="G10" i="11" s="1"/>
  <c r="H10"/>
  <c r="K21" i="1"/>
  <c r="G11" i="11" s="1"/>
  <c r="L21" i="1"/>
  <c r="H11" i="11" s="1"/>
  <c r="G13"/>
  <c r="H13"/>
  <c r="K40" i="1"/>
  <c r="G14" i="11" s="1"/>
  <c r="H14"/>
  <c r="K48" i="1"/>
  <c r="L48"/>
  <c r="L44" s="1"/>
  <c r="H16" i="11" s="1"/>
  <c r="K50" i="1"/>
  <c r="J50" s="1"/>
  <c r="K52"/>
  <c r="G17" i="11" s="1"/>
  <c r="L52" i="1"/>
  <c r="H17" i="11" s="1"/>
  <c r="K56" i="1"/>
  <c r="G18" i="11" s="1"/>
  <c r="L56" i="1"/>
  <c r="H18" i="11" s="1"/>
  <c r="L60" i="1"/>
  <c r="H19" i="11" s="1"/>
  <c r="G19"/>
  <c r="G20"/>
  <c r="H20"/>
  <c r="K71" i="1"/>
  <c r="G22" i="11" s="1"/>
  <c r="H22"/>
  <c r="K79" i="1"/>
  <c r="G23" i="11" s="1"/>
  <c r="L79" i="1"/>
  <c r="H23" i="11" s="1"/>
  <c r="K85" i="1"/>
  <c r="G24" i="11" s="1"/>
  <c r="L85" i="1"/>
  <c r="H24" i="11" s="1"/>
  <c r="K94" i="1"/>
  <c r="J94" s="1"/>
  <c r="K103"/>
  <c r="G26" i="11" s="1"/>
  <c r="L103" i="1"/>
  <c r="H26" i="11" s="1"/>
  <c r="K109" i="1"/>
  <c r="J109" s="1"/>
  <c r="K125"/>
  <c r="L146"/>
  <c r="J146" s="1"/>
  <c r="K149"/>
  <c r="G39" i="11" s="1"/>
  <c r="L149" i="1"/>
  <c r="H39" i="11" s="1"/>
  <c r="K155" i="1"/>
  <c r="G41" i="11" s="1"/>
  <c r="L155" i="1"/>
  <c r="H41" i="11" s="1"/>
  <c r="K167" i="1"/>
  <c r="G46" i="11" s="1"/>
  <c r="L167" i="1"/>
  <c r="H46" i="11" s="1"/>
  <c r="K185" i="1"/>
  <c r="G51" i="11" s="1"/>
  <c r="L185" i="1"/>
  <c r="H51" i="11" s="1"/>
  <c r="K200" i="1"/>
  <c r="J200" s="1"/>
  <c r="H132"/>
  <c r="E35" i="11" s="1"/>
  <c r="G132" i="1"/>
  <c r="D35" i="11" s="1"/>
  <c r="H159" i="1"/>
  <c r="E43" i="11" s="1"/>
  <c r="H163" i="1"/>
  <c r="E45" i="11" s="1"/>
  <c r="G163" i="1"/>
  <c r="D45" i="11" s="1"/>
  <c r="H170" i="1"/>
  <c r="E47" i="11" s="1"/>
  <c r="G170" i="1"/>
  <c r="D47" i="11" s="1"/>
  <c r="H175" i="1"/>
  <c r="E49" i="11" s="1"/>
  <c r="G175" i="1"/>
  <c r="D49" i="11" s="1"/>
  <c r="G179" i="1"/>
  <c r="D50" i="11" s="1"/>
  <c r="H188" i="1"/>
  <c r="E52" i="11" s="1"/>
  <c r="H201" i="1"/>
  <c r="E55" i="11" s="1"/>
  <c r="G201" i="1"/>
  <c r="D55" i="11" s="1"/>
  <c r="F204" i="1"/>
  <c r="F203"/>
  <c r="F200"/>
  <c r="F197"/>
  <c r="F193"/>
  <c r="F192"/>
  <c r="F191"/>
  <c r="F184"/>
  <c r="F183"/>
  <c r="F181"/>
  <c r="F178"/>
  <c r="F177"/>
  <c r="F173"/>
  <c r="F172"/>
  <c r="F157"/>
  <c r="F154"/>
  <c r="F142"/>
  <c r="F135"/>
  <c r="F130"/>
  <c r="F122"/>
  <c r="F120"/>
  <c r="F117"/>
  <c r="F114"/>
  <c r="F111"/>
  <c r="F110"/>
  <c r="F104"/>
  <c r="F102"/>
  <c r="F101"/>
  <c r="F100"/>
  <c r="F99"/>
  <c r="F98"/>
  <c r="F97"/>
  <c r="F95"/>
  <c r="F91"/>
  <c r="F90"/>
  <c r="F89"/>
  <c r="F88"/>
  <c r="U85"/>
  <c r="T85"/>
  <c r="S85"/>
  <c r="P85"/>
  <c r="O85"/>
  <c r="H85"/>
  <c r="E24" i="11" s="1"/>
  <c r="G85" i="1"/>
  <c r="D24" i="11" s="1"/>
  <c r="F84" i="1"/>
  <c r="F83"/>
  <c r="F82"/>
  <c r="F81"/>
  <c r="U79"/>
  <c r="T79"/>
  <c r="S79"/>
  <c r="P79"/>
  <c r="O79"/>
  <c r="H79"/>
  <c r="E23" i="11" s="1"/>
  <c r="G79" i="1"/>
  <c r="D23" i="11" s="1"/>
  <c r="F77" i="1"/>
  <c r="F75"/>
  <c r="F73"/>
  <c r="U71"/>
  <c r="T71"/>
  <c r="P71"/>
  <c r="O71"/>
  <c r="H71"/>
  <c r="E22" i="11" s="1"/>
  <c r="G71" i="1"/>
  <c r="D22" i="11" s="1"/>
  <c r="E20"/>
  <c r="U60" i="1"/>
  <c r="T60"/>
  <c r="S60"/>
  <c r="P60"/>
  <c r="O60"/>
  <c r="H60"/>
  <c r="E19" i="11" s="1"/>
  <c r="G60" i="1"/>
  <c r="D19" i="11" s="1"/>
  <c r="U56" i="1"/>
  <c r="T56"/>
  <c r="S56"/>
  <c r="U52"/>
  <c r="T52"/>
  <c r="S52"/>
  <c r="P52"/>
  <c r="O52"/>
  <c r="H52"/>
  <c r="E17" i="11" s="1"/>
  <c r="G52" i="1"/>
  <c r="D17" i="11" s="1"/>
  <c r="F67" i="1"/>
  <c r="F66"/>
  <c r="F63"/>
  <c r="F62"/>
  <c r="F59"/>
  <c r="F55"/>
  <c r="F54"/>
  <c r="F46"/>
  <c r="F51"/>
  <c r="F49"/>
  <c r="F48"/>
  <c r="F47"/>
  <c r="U44"/>
  <c r="T44"/>
  <c r="S44"/>
  <c r="P44"/>
  <c r="O44"/>
  <c r="H44"/>
  <c r="E16" i="11" s="1"/>
  <c r="E13"/>
  <c r="D13"/>
  <c r="P36" i="1"/>
  <c r="O36"/>
  <c r="U36"/>
  <c r="T36"/>
  <c r="S36"/>
  <c r="U31"/>
  <c r="U21"/>
  <c r="T21"/>
  <c r="S21"/>
  <c r="P21"/>
  <c r="O21"/>
  <c r="H21"/>
  <c r="E11" i="11" s="1"/>
  <c r="G21" i="1"/>
  <c r="D11" i="11" s="1"/>
  <c r="U10" i="1"/>
  <c r="T10"/>
  <c r="H10"/>
  <c r="J64" l="1"/>
  <c r="F20" i="11" s="1"/>
  <c r="J20" s="1"/>
  <c r="E10"/>
  <c r="L158" i="1"/>
  <c r="H42" i="11" s="1"/>
  <c r="H43"/>
  <c r="K158" i="1"/>
  <c r="G42" i="11" s="1"/>
  <c r="G43"/>
  <c r="J26"/>
  <c r="F128" i="1"/>
  <c r="C33" i="11" s="1"/>
  <c r="L70" i="1"/>
  <c r="H21" i="11" s="1"/>
  <c r="J48" i="1"/>
  <c r="V48" s="1"/>
  <c r="R201"/>
  <c r="L144"/>
  <c r="K118"/>
  <c r="G32" i="11" s="1"/>
  <c r="K108" i="1"/>
  <c r="G29" i="11" s="1"/>
  <c r="K195" i="1"/>
  <c r="J125"/>
  <c r="J118" s="1"/>
  <c r="F32" i="11" s="1"/>
  <c r="J32" s="1"/>
  <c r="V23" i="1"/>
  <c r="V25"/>
  <c r="V29"/>
  <c r="N52"/>
  <c r="R56"/>
  <c r="F79"/>
  <c r="C23" i="11" s="1"/>
  <c r="V141" i="1"/>
  <c r="V24"/>
  <c r="V28"/>
  <c r="V30"/>
  <c r="K174"/>
  <c r="G48" i="11" s="1"/>
  <c r="L162" i="1"/>
  <c r="H44" i="11" s="1"/>
  <c r="L194" i="1"/>
  <c r="H53" i="11" s="1"/>
  <c r="O194" i="1"/>
  <c r="T194"/>
  <c r="J201"/>
  <c r="N79"/>
  <c r="N136"/>
  <c r="N144"/>
  <c r="N201"/>
  <c r="R108"/>
  <c r="R163"/>
  <c r="R195"/>
  <c r="J195"/>
  <c r="F54" i="11" s="1"/>
  <c r="R118" i="1"/>
  <c r="F52" i="11"/>
  <c r="L174" i="1"/>
  <c r="H48" i="11" s="1"/>
  <c r="L131" i="1"/>
  <c r="H34" i="11" s="1"/>
  <c r="O131" i="1"/>
  <c r="T131"/>
  <c r="V33"/>
  <c r="V38"/>
  <c r="V63"/>
  <c r="V67"/>
  <c r="V73"/>
  <c r="V75"/>
  <c r="V83"/>
  <c r="V87"/>
  <c r="V89"/>
  <c r="V91"/>
  <c r="V95"/>
  <c r="V99"/>
  <c r="V101"/>
  <c r="V165"/>
  <c r="V173"/>
  <c r="V178"/>
  <c r="V184"/>
  <c r="V192"/>
  <c r="V204"/>
  <c r="N71"/>
  <c r="N36"/>
  <c r="N44"/>
  <c r="R60"/>
  <c r="F85"/>
  <c r="C24" i="11" s="1"/>
  <c r="F170" i="1"/>
  <c r="C47" i="11" s="1"/>
  <c r="F175" i="1"/>
  <c r="C49" i="11" s="1"/>
  <c r="F201" i="1"/>
  <c r="C55" i="11" s="1"/>
  <c r="L107" i="1"/>
  <c r="H28" i="11" s="1"/>
  <c r="J40" i="1"/>
  <c r="F14" i="11" s="1"/>
  <c r="F23"/>
  <c r="V81" i="1"/>
  <c r="F29" i="11"/>
  <c r="F31"/>
  <c r="V117" i="1"/>
  <c r="F39" i="11"/>
  <c r="J39" s="1"/>
  <c r="V151" i="1"/>
  <c r="J155"/>
  <c r="F41" i="11" s="1"/>
  <c r="V157" i="1"/>
  <c r="J167"/>
  <c r="F46" i="11" s="1"/>
  <c r="V169" i="1"/>
  <c r="L9"/>
  <c r="H9" i="11" s="1"/>
  <c r="V16" i="1"/>
  <c r="F17" i="11"/>
  <c r="V55" i="1"/>
  <c r="F19" i="11"/>
  <c r="V111" i="1"/>
  <c r="V135"/>
  <c r="V142"/>
  <c r="V13"/>
  <c r="F52"/>
  <c r="C17" i="11" s="1"/>
  <c r="F13"/>
  <c r="F36" i="1"/>
  <c r="C13" i="11" s="1"/>
  <c r="K131" i="1"/>
  <c r="G34" i="11" s="1"/>
  <c r="J112" i="1"/>
  <c r="F30" i="11" s="1"/>
  <c r="V114" i="1"/>
  <c r="J144"/>
  <c r="F38" i="11" s="1"/>
  <c r="F40"/>
  <c r="V154" i="1"/>
  <c r="J159"/>
  <c r="F47" i="11"/>
  <c r="V172" i="1"/>
  <c r="F50" i="11"/>
  <c r="V181" i="1"/>
  <c r="F51" i="11"/>
  <c r="R36" i="1"/>
  <c r="F163"/>
  <c r="C45" i="11" s="1"/>
  <c r="K162" i="1"/>
  <c r="G44" i="11" s="1"/>
  <c r="K143" i="1"/>
  <c r="G37" i="11" s="1"/>
  <c r="P194" i="1"/>
  <c r="S194"/>
  <c r="U194"/>
  <c r="P131"/>
  <c r="S131"/>
  <c r="U131"/>
  <c r="V17"/>
  <c r="V34"/>
  <c r="V39"/>
  <c r="V47"/>
  <c r="V49"/>
  <c r="V51"/>
  <c r="V54"/>
  <c r="F18" i="11"/>
  <c r="V59" i="1"/>
  <c r="V62"/>
  <c r="V66"/>
  <c r="V74"/>
  <c r="V76"/>
  <c r="V78"/>
  <c r="V82"/>
  <c r="V84"/>
  <c r="V88"/>
  <c r="V90"/>
  <c r="V98"/>
  <c r="V100"/>
  <c r="V104"/>
  <c r="V110"/>
  <c r="V120"/>
  <c r="V122"/>
  <c r="J132"/>
  <c r="F36" i="11"/>
  <c r="V166" i="1"/>
  <c r="F49" i="11"/>
  <c r="V183" i="1"/>
  <c r="V191"/>
  <c r="V193"/>
  <c r="V197"/>
  <c r="V200"/>
  <c r="V203"/>
  <c r="N85"/>
  <c r="N108"/>
  <c r="R44"/>
  <c r="R79"/>
  <c r="R85"/>
  <c r="R132"/>
  <c r="R136"/>
  <c r="R143"/>
  <c r="R170"/>
  <c r="R179"/>
  <c r="V12"/>
  <c r="F132"/>
  <c r="C35" i="11" s="1"/>
  <c r="V134" i="1"/>
  <c r="V130"/>
  <c r="F25" i="11"/>
  <c r="L43" i="1"/>
  <c r="H15" i="11" s="1"/>
  <c r="R21" i="1"/>
  <c r="J163"/>
  <c r="F45" i="11" s="1"/>
  <c r="F71" i="1"/>
  <c r="C22" i="11" s="1"/>
  <c r="F11"/>
  <c r="F24"/>
  <c r="J71" i="1"/>
  <c r="F22" i="11" s="1"/>
  <c r="K9" i="1"/>
  <c r="G9" i="11" s="1"/>
  <c r="J10" i="1"/>
  <c r="F10" i="11" s="1"/>
  <c r="J10" s="1"/>
  <c r="K44" i="1"/>
  <c r="G16" i="11" s="1"/>
  <c r="C11"/>
  <c r="F60" i="1"/>
  <c r="C19" i="11" s="1"/>
  <c r="F43" l="1"/>
  <c r="J43" s="1"/>
  <c r="J158" i="1"/>
  <c r="F35" i="11"/>
  <c r="J35" s="1"/>
  <c r="J131" i="1"/>
  <c r="F55" i="11"/>
  <c r="I55" s="1"/>
  <c r="J194" i="1"/>
  <c r="F53" i="11" s="1"/>
  <c r="D9" i="8"/>
  <c r="J49" i="11"/>
  <c r="I49"/>
  <c r="J40"/>
  <c r="J19"/>
  <c r="I19"/>
  <c r="J17"/>
  <c r="I17"/>
  <c r="J29"/>
  <c r="J23"/>
  <c r="I23"/>
  <c r="J52"/>
  <c r="J54"/>
  <c r="V128" i="1"/>
  <c r="F33" i="11"/>
  <c r="J36"/>
  <c r="J18"/>
  <c r="J51"/>
  <c r="J50"/>
  <c r="J47"/>
  <c r="I47"/>
  <c r="J30"/>
  <c r="J46"/>
  <c r="J41"/>
  <c r="J31"/>
  <c r="J14"/>
  <c r="K194" i="1"/>
  <c r="G53" i="11" s="1"/>
  <c r="G54"/>
  <c r="L143" i="1"/>
  <c r="H37" i="11" s="1"/>
  <c r="H38"/>
  <c r="J38"/>
  <c r="J25"/>
  <c r="K70" i="1"/>
  <c r="G21" i="11" s="1"/>
  <c r="G25"/>
  <c r="J24"/>
  <c r="I24"/>
  <c r="J22"/>
  <c r="I22"/>
  <c r="J45"/>
  <c r="I45"/>
  <c r="J11"/>
  <c r="I11"/>
  <c r="J13"/>
  <c r="I13"/>
  <c r="J70" i="1"/>
  <c r="F21" i="11" s="1"/>
  <c r="D7" i="8"/>
  <c r="K107" i="1"/>
  <c r="D3" i="8"/>
  <c r="V85" i="1"/>
  <c r="V31"/>
  <c r="D10" i="8"/>
  <c r="V79" i="1"/>
  <c r="N107"/>
  <c r="V201"/>
  <c r="D11" i="8"/>
  <c r="F48" i="11"/>
  <c r="V170" i="1"/>
  <c r="R162"/>
  <c r="V175"/>
  <c r="V71"/>
  <c r="R131"/>
  <c r="V52"/>
  <c r="J44"/>
  <c r="F16" i="11" s="1"/>
  <c r="J162" i="1"/>
  <c r="F44" i="11" s="1"/>
  <c r="V163" i="1"/>
  <c r="F42" i="11"/>
  <c r="F37"/>
  <c r="F34"/>
  <c r="V36" i="1"/>
  <c r="V60"/>
  <c r="V132"/>
  <c r="J107"/>
  <c r="F28" i="11" s="1"/>
  <c r="V21" i="1"/>
  <c r="J9"/>
  <c r="F9" i="11" s="1"/>
  <c r="K43" i="1"/>
  <c r="G15" i="11" s="1"/>
  <c r="I35" l="1"/>
  <c r="J55"/>
  <c r="D5" i="8"/>
  <c r="L8" i="1"/>
  <c r="H8" i="11" s="1"/>
  <c r="D12" i="8"/>
  <c r="D8"/>
  <c r="J16" i="11"/>
  <c r="J33"/>
  <c r="I33"/>
  <c r="D6" i="8"/>
  <c r="G28" i="11"/>
  <c r="K8" i="1"/>
  <c r="D4" i="8"/>
  <c r="J43" i="1"/>
  <c r="F15" i="11" s="1"/>
  <c r="F123" i="1"/>
  <c r="V123" s="1"/>
  <c r="F124"/>
  <c r="V124" s="1"/>
  <c r="G125"/>
  <c r="G121"/>
  <c r="F121" s="1"/>
  <c r="H146"/>
  <c r="G8" i="11" l="1"/>
  <c r="D2" i="8"/>
  <c r="J8" i="1"/>
  <c r="F1" i="8" s="1"/>
  <c r="F146" i="1"/>
  <c r="H144"/>
  <c r="E38" i="11" s="1"/>
  <c r="F125" i="1"/>
  <c r="F8" i="11" l="1"/>
  <c r="V146" i="1"/>
  <c r="S76"/>
  <c r="H118"/>
  <c r="E32" i="11" s="1"/>
  <c r="R76" i="1" l="1"/>
  <c r="S71"/>
  <c r="G140"/>
  <c r="H139"/>
  <c r="G138"/>
  <c r="H137"/>
  <c r="S18"/>
  <c r="R18" s="1"/>
  <c r="O18"/>
  <c r="N18" s="1"/>
  <c r="G18"/>
  <c r="S20"/>
  <c r="R20" s="1"/>
  <c r="O20"/>
  <c r="N20" s="1"/>
  <c r="G20"/>
  <c r="O34"/>
  <c r="O31" s="1"/>
  <c r="N31" s="1"/>
  <c r="H108"/>
  <c r="E29" i="11" s="1"/>
  <c r="O69" i="1"/>
  <c r="S69"/>
  <c r="G69"/>
  <c r="G64" s="1"/>
  <c r="G50"/>
  <c r="H182"/>
  <c r="G199"/>
  <c r="G195" s="1"/>
  <c r="D54" i="11" s="1"/>
  <c r="S190" i="1"/>
  <c r="O190"/>
  <c r="G190"/>
  <c r="H187"/>
  <c r="H185" s="1"/>
  <c r="E51" i="11" s="1"/>
  <c r="G187" i="1"/>
  <c r="U185"/>
  <c r="T185"/>
  <c r="S185"/>
  <c r="P185"/>
  <c r="P182"/>
  <c r="O182"/>
  <c r="P181"/>
  <c r="O181"/>
  <c r="S178"/>
  <c r="R178" s="1"/>
  <c r="O178"/>
  <c r="N178" s="1"/>
  <c r="T177"/>
  <c r="T175" s="1"/>
  <c r="S177"/>
  <c r="P177"/>
  <c r="P175" s="1"/>
  <c r="O177"/>
  <c r="U174"/>
  <c r="F167"/>
  <c r="U167"/>
  <c r="U162" s="1"/>
  <c r="T167"/>
  <c r="S167"/>
  <c r="S162" s="1"/>
  <c r="P167"/>
  <c r="O167"/>
  <c r="H167"/>
  <c r="E46" i="11" s="1"/>
  <c r="G167" i="1"/>
  <c r="D46" i="11" s="1"/>
  <c r="G161" i="1"/>
  <c r="T158"/>
  <c r="H158"/>
  <c r="E42" i="11" s="1"/>
  <c r="U158" i="1"/>
  <c r="S158"/>
  <c r="P158"/>
  <c r="U155"/>
  <c r="T155"/>
  <c r="S155"/>
  <c r="P155"/>
  <c r="O155"/>
  <c r="H155"/>
  <c r="E41" i="11" s="1"/>
  <c r="G155" i="1"/>
  <c r="D41" i="11" s="1"/>
  <c r="F155" i="1"/>
  <c r="H152"/>
  <c r="E40" i="11" s="1"/>
  <c r="G152" i="1"/>
  <c r="D40" i="11" s="1"/>
  <c r="F152" i="1"/>
  <c r="U149"/>
  <c r="T149"/>
  <c r="S149"/>
  <c r="P149"/>
  <c r="O149"/>
  <c r="H149"/>
  <c r="E39" i="11" s="1"/>
  <c r="G149" i="1"/>
  <c r="D39" i="11" s="1"/>
  <c r="G148" i="1"/>
  <c r="F148" s="1"/>
  <c r="G147"/>
  <c r="G127"/>
  <c r="F127" s="1"/>
  <c r="F115"/>
  <c r="F112"/>
  <c r="H112"/>
  <c r="G109"/>
  <c r="F103"/>
  <c r="U103"/>
  <c r="U70" s="1"/>
  <c r="T103"/>
  <c r="T70" s="1"/>
  <c r="S103"/>
  <c r="P103"/>
  <c r="P70" s="1"/>
  <c r="O103"/>
  <c r="H103"/>
  <c r="E26" i="11" s="1"/>
  <c r="G103" i="1"/>
  <c r="D26" i="11" s="1"/>
  <c r="G96" i="1"/>
  <c r="F96" s="1"/>
  <c r="S94"/>
  <c r="O94"/>
  <c r="G94"/>
  <c r="F94" s="1"/>
  <c r="H92"/>
  <c r="P58"/>
  <c r="P56" s="1"/>
  <c r="O58"/>
  <c r="H58"/>
  <c r="H56" s="1"/>
  <c r="E18" i="11" s="1"/>
  <c r="G58" i="1"/>
  <c r="F42"/>
  <c r="U40"/>
  <c r="T40"/>
  <c r="S40"/>
  <c r="P40"/>
  <c r="O40"/>
  <c r="H40"/>
  <c r="E14" i="11" s="1"/>
  <c r="G40" i="1"/>
  <c r="D14" i="11" s="1"/>
  <c r="P13" i="1"/>
  <c r="P10" s="1"/>
  <c r="O13"/>
  <c r="P179" l="1"/>
  <c r="S143"/>
  <c r="N69"/>
  <c r="O64"/>
  <c r="G10"/>
  <c r="F10" s="1"/>
  <c r="R69"/>
  <c r="S64"/>
  <c r="H70"/>
  <c r="E21" i="11" s="1"/>
  <c r="E25"/>
  <c r="V103" i="1"/>
  <c r="C26" i="11"/>
  <c r="I26" s="1"/>
  <c r="H107" i="1"/>
  <c r="E28" i="11" s="1"/>
  <c r="E30"/>
  <c r="V115" i="1"/>
  <c r="C31" i="11"/>
  <c r="I31" s="1"/>
  <c r="V155" i="1"/>
  <c r="C41" i="11"/>
  <c r="I41" s="1"/>
  <c r="V167" i="1"/>
  <c r="C46" i="11"/>
  <c r="I46" s="1"/>
  <c r="F187" i="1"/>
  <c r="F185" s="1"/>
  <c r="V112"/>
  <c r="C30" i="11"/>
  <c r="I30" s="1"/>
  <c r="V152" i="1"/>
  <c r="C40" i="11"/>
  <c r="I40" s="1"/>
  <c r="V148" i="1"/>
  <c r="N34"/>
  <c r="V127"/>
  <c r="F118"/>
  <c r="C32" i="11" s="1"/>
  <c r="I32" s="1"/>
  <c r="O10" i="1"/>
  <c r="N10" s="1"/>
  <c r="N13"/>
  <c r="R94"/>
  <c r="R92" s="1"/>
  <c r="S92"/>
  <c r="S70" s="1"/>
  <c r="G159"/>
  <c r="D43" i="11" s="1"/>
  <c r="N190" i="1"/>
  <c r="N188" s="1"/>
  <c r="O188"/>
  <c r="F199"/>
  <c r="N67"/>
  <c r="G136"/>
  <c r="D36" i="11" s="1"/>
  <c r="F138" i="1"/>
  <c r="F140"/>
  <c r="N94"/>
  <c r="N92" s="1"/>
  <c r="N70" s="1"/>
  <c r="O92"/>
  <c r="O70" s="1"/>
  <c r="G108"/>
  <c r="D29" i="11" s="1"/>
  <c r="F109" i="1"/>
  <c r="G144"/>
  <c r="D38" i="11" s="1"/>
  <c r="F147" i="1"/>
  <c r="O158"/>
  <c r="N177"/>
  <c r="O175"/>
  <c r="S175"/>
  <c r="R177"/>
  <c r="R175" s="1"/>
  <c r="N181"/>
  <c r="G188"/>
  <c r="D52" i="11" s="1"/>
  <c r="F190" i="1"/>
  <c r="R190"/>
  <c r="R188" s="1"/>
  <c r="S188"/>
  <c r="H179"/>
  <c r="E50" i="11" s="1"/>
  <c r="F69" i="1"/>
  <c r="F64" s="1"/>
  <c r="D20" i="11"/>
  <c r="S43" i="1"/>
  <c r="R67"/>
  <c r="H136"/>
  <c r="F137"/>
  <c r="F139"/>
  <c r="P9"/>
  <c r="N58"/>
  <c r="N182"/>
  <c r="G185"/>
  <c r="D51" i="11" s="1"/>
  <c r="G162" i="1"/>
  <c r="D44" i="11" s="1"/>
  <c r="F40" i="1"/>
  <c r="V42"/>
  <c r="G56"/>
  <c r="D18" i="11" s="1"/>
  <c r="F58" i="1"/>
  <c r="O56"/>
  <c r="F50"/>
  <c r="V50" s="1"/>
  <c r="G44"/>
  <c r="D16" i="11" s="1"/>
  <c r="V18" i="1"/>
  <c r="S10"/>
  <c r="R10" s="1"/>
  <c r="R9" s="1"/>
  <c r="O143"/>
  <c r="G112"/>
  <c r="D30" i="11" s="1"/>
  <c r="S107" i="1"/>
  <c r="T143"/>
  <c r="T9"/>
  <c r="P107"/>
  <c r="P143"/>
  <c r="P162"/>
  <c r="T162"/>
  <c r="U9"/>
  <c r="T174"/>
  <c r="P174"/>
  <c r="G118"/>
  <c r="D32" i="11" s="1"/>
  <c r="F149" i="1"/>
  <c r="H162"/>
  <c r="F162"/>
  <c r="H143"/>
  <c r="E37" i="11" s="1"/>
  <c r="U143" i="1"/>
  <c r="T107"/>
  <c r="O107"/>
  <c r="U107"/>
  <c r="U43"/>
  <c r="H9"/>
  <c r="E9" i="11" s="1"/>
  <c r="P43" i="1"/>
  <c r="T43"/>
  <c r="H43"/>
  <c r="E15" i="11" s="1"/>
  <c r="G194" i="1"/>
  <c r="D53" i="11" s="1"/>
  <c r="H194" i="1"/>
  <c r="E53" i="11" s="1"/>
  <c r="F92" i="1"/>
  <c r="C25" i="11" s="1"/>
  <c r="I25" s="1"/>
  <c r="G92" i="1"/>
  <c r="V187" l="1"/>
  <c r="R64"/>
  <c r="R43" s="1"/>
  <c r="D10" i="11"/>
  <c r="G70" i="1"/>
  <c r="D21" i="11" s="1"/>
  <c r="D25"/>
  <c r="V162" i="1"/>
  <c r="C44" i="11"/>
  <c r="I44" s="1"/>
  <c r="C10" i="8"/>
  <c r="E44" i="11"/>
  <c r="V185" i="1"/>
  <c r="C51" i="11"/>
  <c r="I51" s="1"/>
  <c r="V149" i="1"/>
  <c r="C39" i="11"/>
  <c r="I39" s="1"/>
  <c r="V40" i="1"/>
  <c r="C14" i="11"/>
  <c r="I14" s="1"/>
  <c r="H131" i="1"/>
  <c r="E34" i="11" s="1"/>
  <c r="E36"/>
  <c r="V64" i="1"/>
  <c r="C20" i="11"/>
  <c r="I20" s="1"/>
  <c r="F188" i="1"/>
  <c r="F195"/>
  <c r="V109"/>
  <c r="V58"/>
  <c r="V19"/>
  <c r="V92"/>
  <c r="F70"/>
  <c r="H174"/>
  <c r="E48" i="11" s="1"/>
  <c r="F108" i="1"/>
  <c r="G158"/>
  <c r="O174"/>
  <c r="S174"/>
  <c r="G143"/>
  <c r="G43"/>
  <c r="D15" i="11" s="1"/>
  <c r="N43" i="1"/>
  <c r="V147"/>
  <c r="F144"/>
  <c r="C38" i="11" s="1"/>
  <c r="I38" s="1"/>
  <c r="G131" i="1"/>
  <c r="F159"/>
  <c r="C43" i="11" s="1"/>
  <c r="I43" s="1"/>
  <c r="V161" i="1"/>
  <c r="F136"/>
  <c r="C36" i="11" s="1"/>
  <c r="I36" s="1"/>
  <c r="R174" i="1"/>
  <c r="V182"/>
  <c r="F179"/>
  <c r="O43"/>
  <c r="O9"/>
  <c r="C12" i="8"/>
  <c r="C10" i="11"/>
  <c r="I10" s="1"/>
  <c r="F44" i="1"/>
  <c r="F56"/>
  <c r="C5" i="8"/>
  <c r="G107" i="1"/>
  <c r="P8"/>
  <c r="S9"/>
  <c r="V118"/>
  <c r="T8"/>
  <c r="U8"/>
  <c r="G9"/>
  <c r="G174"/>
  <c r="H8" l="1"/>
  <c r="E8" i="11" s="1"/>
  <c r="H3" s="1"/>
  <c r="R8" i="1"/>
  <c r="C8" i="8"/>
  <c r="D37" i="11"/>
  <c r="V108" i="1"/>
  <c r="C29" i="11"/>
  <c r="I29" s="1"/>
  <c r="V70" i="1"/>
  <c r="C21" i="11"/>
  <c r="I21" s="1"/>
  <c r="C11" i="8"/>
  <c r="D48" i="11"/>
  <c r="V44" i="1"/>
  <c r="C16" i="11"/>
  <c r="I16" s="1"/>
  <c r="V179" i="1"/>
  <c r="C50" i="11"/>
  <c r="I50" s="1"/>
  <c r="V56" i="1"/>
  <c r="C18" i="11"/>
  <c r="I18" s="1"/>
  <c r="C7" i="8"/>
  <c r="D34" i="11"/>
  <c r="C9" i="8"/>
  <c r="D42" i="11"/>
  <c r="V195" i="1"/>
  <c r="C54" i="11"/>
  <c r="I54" s="1"/>
  <c r="V188" i="1"/>
  <c r="C52" i="11"/>
  <c r="I52" s="1"/>
  <c r="C3" i="8"/>
  <c r="D9" i="11"/>
  <c r="C6" i="8"/>
  <c r="D28" i="11"/>
  <c r="V10" i="1"/>
  <c r="C4" i="8"/>
  <c r="S8" i="1"/>
  <c r="O8"/>
  <c r="F131"/>
  <c r="C34" i="11" s="1"/>
  <c r="I34" s="1"/>
  <c r="V136" i="1"/>
  <c r="V159"/>
  <c r="F158"/>
  <c r="V144"/>
  <c r="F143"/>
  <c r="F174"/>
  <c r="N8"/>
  <c r="F43"/>
  <c r="G8"/>
  <c r="F194"/>
  <c r="F107"/>
  <c r="F8" l="1"/>
  <c r="V174"/>
  <c r="C48" i="11"/>
  <c r="I48" s="1"/>
  <c r="V194" i="1"/>
  <c r="C53" i="11"/>
  <c r="I53" s="1"/>
  <c r="V143" i="1"/>
  <c r="C37" i="11"/>
  <c r="I37" s="1"/>
  <c r="V158" i="1"/>
  <c r="C42" i="11"/>
  <c r="I42" s="1"/>
  <c r="V9" i="1"/>
  <c r="C9" i="11"/>
  <c r="I9" s="1"/>
  <c r="V43" i="1"/>
  <c r="C15" i="11"/>
  <c r="I15" s="1"/>
  <c r="V107" i="1"/>
  <c r="C28" i="11"/>
  <c r="I28" s="1"/>
  <c r="G1" i="8"/>
  <c r="D8" i="11"/>
  <c r="G3" s="1"/>
  <c r="C2" i="8"/>
  <c r="E2" s="1"/>
  <c r="V131" i="1"/>
  <c r="V8" l="1"/>
  <c r="C8" i="11"/>
  <c r="I8" s="1"/>
  <c r="M9" i="1" l="1"/>
  <c r="M8" s="1"/>
</calcChain>
</file>

<file path=xl/sharedStrings.xml><?xml version="1.0" encoding="utf-8"?>
<sst xmlns="http://schemas.openxmlformats.org/spreadsheetml/2006/main" count="1128" uniqueCount="367">
  <si>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</si>
  <si>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</si>
  <si>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</si>
  <si>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</si>
  <si>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</si>
  <si>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2019 год</t>
  </si>
  <si>
    <t>2020  год</t>
  </si>
  <si>
    <t>2021 год</t>
  </si>
  <si>
    <t xml:space="preserve">Плановые ассигнования*, в том числе </t>
  </si>
  <si>
    <t>Кассовое исполнение, в том числе</t>
  </si>
  <si>
    <t xml:space="preserve">Плановые ассигнования*, 
в том числе  </t>
  </si>
  <si>
    <t>ИТОГО</t>
  </si>
  <si>
    <t>за счет средств областного бюджета</t>
  </si>
  <si>
    <t>за счет средств федерального бюджета</t>
  </si>
  <si>
    <t>за счет средств местного бюджета**</t>
  </si>
  <si>
    <t>1</t>
  </si>
  <si>
    <t>ВСЕГО:</t>
  </si>
  <si>
    <t>Национальный проект "Демография"</t>
  </si>
  <si>
    <t>Х</t>
  </si>
  <si>
    <t>1.1</t>
  </si>
  <si>
    <t>Региональный проект "Старшее поколение", всего</t>
  </si>
  <si>
    <t>из них</t>
  </si>
  <si>
    <t>024</t>
  </si>
  <si>
    <t>Организация профессионального обучения и дополнительного профессионального образования лиц предпенсионного возраста</t>
  </si>
  <si>
    <t>Департамент труда и занятости населения Томской области</t>
  </si>
  <si>
    <t>051P352940</t>
  </si>
  <si>
    <t>051P352941</t>
  </si>
  <si>
    <t>Проведение дополнительных скринингов лицам старше 65 лет, проживающим в сельской местности, на выявление отдельных социально значимых неинфекционных заболеваний, оказывающих вклад в структуру смертности населения, с возможностью доставки данных лиц в медицинские организации</t>
  </si>
  <si>
    <t>Департамент здравоохранения Томской области</t>
  </si>
  <si>
    <t>071P352950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</si>
  <si>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</si>
  <si>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071P354680</t>
  </si>
  <si>
    <t>022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</si>
  <si>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</si>
  <si>
    <t>Департамент архитектуры и строительства Томской области</t>
  </si>
  <si>
    <t>112P351210</t>
  </si>
  <si>
    <t>Приобретение автотранспорта</t>
  </si>
  <si>
    <t>Департамент социальной защиты населения Томской области</t>
  </si>
  <si>
    <t>112P352930</t>
  </si>
  <si>
    <t>Бюджетные ассигнования на объекты капитального строительства государственной собственности в сфере социального обслуживания населения</t>
  </si>
  <si>
    <t>112P30И000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</si>
  <si>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</si>
  <si>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</si>
  <si>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</si>
  <si>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</si>
  <si>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081P552280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</si>
  <si>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</si>
  <si>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082P552290</t>
  </si>
  <si>
    <t>Создание и модернизация объектов спортивной инфраструктуры муниципальной собственности для занятий физической культурой и спортом</t>
  </si>
  <si>
    <t>083P551390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</si>
  <si>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</si>
  <si>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081P500001</t>
  </si>
  <si>
    <t>Приобретение спортивного инвентаря и оборудования для спортивных школ</t>
  </si>
  <si>
    <t>082P500002</t>
  </si>
  <si>
    <t>Обеспечение условий для развития физической культуры и массового спорта</t>
  </si>
  <si>
    <t>081P500003</t>
  </si>
  <si>
    <t>1.3</t>
  </si>
  <si>
    <t>Региональный проект "Содействие занятости женщин - создание условий дошкольного образования для детей в возрасте до трех лет", всего</t>
  </si>
  <si>
    <t>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</si>
  <si>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092P251590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</si>
  <si>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</si>
  <si>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092P252320</t>
  </si>
  <si>
    <t>1.4</t>
  </si>
  <si>
    <t>Региональный проект "Финансовая поддержка семей при рождении детей", всего</t>
  </si>
  <si>
    <t>023</t>
  </si>
  <si>
    <t>Осуществление ежемесячной выплаты в связи с рождением (усыновлением) первого ребенка</t>
  </si>
  <si>
    <t>111P155730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</si>
  <si>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</si>
  <si>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111P1Д0840</t>
  </si>
  <si>
    <t xml:space="preserve">1.5 </t>
  </si>
  <si>
    <t>Региональный проект "Укрепление общественного здоровья"</t>
  </si>
  <si>
    <t>Создание и демонстрация рекламно - информационных материалов в СМИ, сети "Интернет", в медицинских организациях и общественных местах, разработка печатной продукции по формированию здорового образа жизни</t>
  </si>
  <si>
    <t>071P4Д0003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</si>
  <si>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</si>
  <si>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</si>
  <si>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</si>
  <si>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</si>
  <si>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Оснащение медицинских организаций передвижными медицинскими комплексами для оказания медицинской помощи жителям населенных пунктов с численностью населения до 100 человек</t>
  </si>
  <si>
    <t>071N151910</t>
  </si>
  <si>
    <t>Создание и замена фельдшерских, фельдшерско-акушерских пунктов и врачебных амбулаторий для населенных пунктов с численностью населения от 100 до 2000 человек</t>
  </si>
  <si>
    <t>071N151960</t>
  </si>
  <si>
    <t>Обеспечение закупки авиационных работ органами государственной власти субъектов Российской Федерации в целях оказания медицинской помощи</t>
  </si>
  <si>
    <t>072N155540</t>
  </si>
  <si>
    <t>Организация проведения профилактических медицинских осмотров</t>
  </si>
  <si>
    <t>071N100001</t>
  </si>
  <si>
    <t>Оказание медицинской помощи с применением санитарной авиации</t>
  </si>
  <si>
    <t>072N1Д5540</t>
  </si>
  <si>
    <t>Функционирование регионального проектного офиса по созданию и внедрению "Новой модели медицинской организации, оказывающей первичную медико-санитарную помощь"</t>
  </si>
  <si>
    <t>076N100101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</si>
  <si>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</si>
  <si>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</si>
  <si>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</si>
  <si>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072N251920</t>
  </si>
  <si>
    <t>Профилактика развития сердечно-сосудистых заболеваний и сердечно-сосудистых осложнений у пациентов высокого риска</t>
  </si>
  <si>
    <t>071N2Д0002</t>
  </si>
  <si>
    <t>2.3</t>
  </si>
  <si>
    <t>Региональный проект "Развитие детского здравоохранения, включая создание современной инфраструктуры оказания медицинской помощи детям", всего</t>
  </si>
  <si>
    <t>Развитие материально-технической базы детских поликлиник и детских поликлинических отделений медицинских организаций, оказывающих первичную медико-санитарную помощь</t>
  </si>
  <si>
    <t>073N451700</t>
  </si>
  <si>
    <t>Развитие профилактического направления в педиатрии</t>
  </si>
  <si>
    <t>071N400004</t>
  </si>
  <si>
    <t>2.4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</si>
  <si>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(ЕГИСЗ)", всего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</si>
  <si>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</si>
  <si>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076N751140</t>
  </si>
  <si>
    <t>Обеспечение работоспособности государственных информационных систем в сфере здравоохранения, подключенных к ЕГИСЗ</t>
  </si>
  <si>
    <t>076N751141</t>
  </si>
  <si>
    <t>2.5</t>
  </si>
  <si>
    <t>Региональный проект "Борьба с онкологическими заболеваниями", всего</t>
  </si>
  <si>
    <t>Создание и оснащение референс-центров для проведения иммуногистохимических, патоморфологических исследований и лучевых методов исследований, переоснащение сети региональных медицинских организаций, оказывающих помощь больным онкологическими заболеваниями в субъектах Российской Федерации</t>
  </si>
  <si>
    <t>072N351900</t>
  </si>
  <si>
    <t>076N351110</t>
  </si>
  <si>
    <t>Бюджетные ассигнования на объекты капитального строительства государственной собственности в сфере здравоохранения</t>
  </si>
  <si>
    <t>076N30И000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</si>
  <si>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</si>
  <si>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</si>
  <si>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</si>
  <si>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</si>
  <si>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Обновление материально-технической базы для формирования у обучающихся современных технологических и гуманитарных навыков</t>
  </si>
  <si>
    <t>Департамент общего образования Томской области</t>
  </si>
  <si>
    <t>091E151690</t>
  </si>
  <si>
    <t>241E152300</t>
  </si>
  <si>
    <t>Создание новых мест в общеобразовательных организациях, расположенных в сельской местности и поселках городского типа (операционные расходы)</t>
  </si>
  <si>
    <t>Создание новых мест в общеобразовательных организациях (Приобретение здания с оборудованием для размещения общеобразовательной организации на 1100 мест по ул. П.Федоровского в г. Томске)</t>
  </si>
  <si>
    <t>241E155200</t>
  </si>
  <si>
    <t>Оснащение зданий средствами обучения и воспитания для размещения общеобразовательных организаций</t>
  </si>
  <si>
    <t>241E155201</t>
  </si>
  <si>
    <t>3.2</t>
  </si>
  <si>
    <t>Региональный проект "Цифровая образовательная среда", всего</t>
  </si>
  <si>
    <t>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</si>
  <si>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091E452100</t>
  </si>
  <si>
    <t>Департамент профессионального образования Томской области</t>
  </si>
  <si>
    <t>093E452100</t>
  </si>
  <si>
    <t>Внедрение и функционирование целевой модели цифровой образовательной среды в общеобразовательных организациях</t>
  </si>
  <si>
    <t>091E452101</t>
  </si>
  <si>
    <t>Функционирование целевой модели цифровой образовательной среды в профессиональных образовательных организациях</t>
  </si>
  <si>
    <t>093E452101</t>
  </si>
  <si>
    <t>3.3</t>
  </si>
  <si>
    <t>Региональный проект "Успех каждого ребенка", всего</t>
  </si>
  <si>
    <t>Создание в общеобразовательных организациях, расположенных в сельской местности, условий для занятий физической культурой и спортом</t>
  </si>
  <si>
    <t>092E250970</t>
  </si>
  <si>
    <t>Создание центров выявления и поддержки одаренных детей</t>
  </si>
  <si>
    <t>091E251890</t>
  </si>
  <si>
    <t>Формирование современных управленческих и организационно-экономических механизмов в системе дополнительного образования детей в субъектах Российской Федерации</t>
  </si>
  <si>
    <t>091E255370</t>
  </si>
  <si>
    <t>Внедрение целевой модели развития региональных систем дополнительного образования детей</t>
  </si>
  <si>
    <t>091E255371</t>
  </si>
  <si>
    <t xml:space="preserve">Реализация пилотных проектов по обновлению содержания и технологий дополнительного образования по приоритетным направлениям </t>
  </si>
  <si>
    <t>091E262352</t>
  </si>
  <si>
    <t>3.4</t>
  </si>
  <si>
    <t>Региональный проект "Молодые профессионалы (Повышение конкурентоспособности профессионального образования)", всего</t>
  </si>
  <si>
    <t>Реализация региональных мероприятий, направленных на модернизацию среднего профессионального образования</t>
  </si>
  <si>
    <t>093E600020</t>
  </si>
  <si>
    <t>Разработка и распространение в системе среднего профессионального образования новых образовательных технологий и формы опережающей профессиональной подготовки</t>
  </si>
  <si>
    <t>093E651770</t>
  </si>
  <si>
    <t>Государственная поддержка профессиональных образовательных организаций в целях обеспечения соответствия их материально-технической базы современным требованиям</t>
  </si>
  <si>
    <t>093E600080</t>
  </si>
  <si>
    <t>Функционирование центра опережающей профессиональной подготовки</t>
  </si>
  <si>
    <t>093E651771</t>
  </si>
  <si>
    <t>093E661624</t>
  </si>
  <si>
    <t>Обеспечение проведения аттестации обучающихся по программам среднего профессионального образования с использованием механизма демонстрационного экзамена</t>
  </si>
  <si>
    <t>093E661634</t>
  </si>
  <si>
    <t>Внедрение программ профессионального обучения по наиболее востребованным и перспективным профессиям на уровне, соответствующем стандартам Ворлдскиллс, с учетом продолжительности программ не более 6 месяцев</t>
  </si>
  <si>
    <t>093E661635</t>
  </si>
  <si>
    <t>Повышение квалификации преподавателей (мастеров производственного обучения) по программам, основанным на опыте Союза Ворлдскиллс Россия</t>
  </si>
  <si>
    <t>093E661636</t>
  </si>
  <si>
    <t>Вовлечение в различные формы наставничества обучающихся организаций, осуществляющих образовательную деятельность по образовательным программам среднего профессионального образования</t>
  </si>
  <si>
    <t>093E661637</t>
  </si>
  <si>
    <t>3.5</t>
  </si>
  <si>
    <t>Региональный проект "Учитель будущего", всего</t>
  </si>
  <si>
    <t>Обеспечение непрерывного и планомерного повышения квалификации педагогических работников</t>
  </si>
  <si>
    <t>091E516200</t>
  </si>
  <si>
    <t>4</t>
  </si>
  <si>
    <t>Национальный проект "Цифровая экономика"</t>
  </si>
  <si>
    <t>4.1</t>
  </si>
  <si>
    <t>Региональный проект "Кадры для цифровой экономики", всего</t>
  </si>
  <si>
    <t>Подготовка кадров для цифровой экономики</t>
  </si>
  <si>
    <t>091D309100</t>
  </si>
  <si>
    <t>4.2</t>
  </si>
  <si>
    <t>Региональный проект "Цифровые технологии"</t>
  </si>
  <si>
    <t>Финансовое обеспечение затрат, возникающих при реализации проекта "Цифровые технологии"</t>
  </si>
  <si>
    <t>Департамент по развитию инновационной и предпринимательской деятельности Томской области</t>
  </si>
  <si>
    <t>024D500400</t>
  </si>
  <si>
    <t>4.3</t>
  </si>
  <si>
    <t>Региональный проект "Информационная безопасность"</t>
  </si>
  <si>
    <t>Обеспечение использования отечественных разработок в технологии при передаче, обработке и хранении данных</t>
  </si>
  <si>
    <t>Администрация Томской области</t>
  </si>
  <si>
    <t>201D461632</t>
  </si>
  <si>
    <t>4.4</t>
  </si>
  <si>
    <t>Региональный проект "Цифровое государственное управление"</t>
  </si>
  <si>
    <t>Разработка методологии статистических наблюдений и организации измерения параметров развития цифровой экономики</t>
  </si>
  <si>
    <t>201D622100</t>
  </si>
  <si>
    <t>Внедрение цифровых технологий и платформенных решений в сферах государственного управления и оказания государственных и муниципальных услуг</t>
  </si>
  <si>
    <t>201D620400</t>
  </si>
  <si>
    <t>Обеспечение функционирования и развития инфраструктуры электронного правительства, а также информационных систем, направленных на предоставление государственных функций в электронном виде</t>
  </si>
  <si>
    <t>201D623600</t>
  </si>
  <si>
    <t>Обеспечение возможности доступа пользователей в модели "одного окна" посредством единого портала государственных и муниципальных услуг (функций) к информации, созданной органами государственной власти, органами местного самоуправления и органами государственных внебюджетных фондов, а также к иной общедоступной информации</t>
  </si>
  <si>
    <t>201D623500</t>
  </si>
  <si>
    <t>Обеспечение информирования и популяризации цифровых государственных услуг, функций и сервисов</t>
  </si>
  <si>
    <t>201D622300</t>
  </si>
  <si>
    <t xml:space="preserve">Внедрение в деятельность органов государственной власти и органов местного самоуправления, а также подведомственных им организаций межведомственного юридически значимого электронного документооборота с применением электронной подписи, базирующегося на единых  инфраструктурах, технологических и методологических решениях </t>
  </si>
  <si>
    <t>201D622700</t>
  </si>
  <si>
    <t>4.5</t>
  </si>
  <si>
    <t>Региональный проект "Информационная инфраструктура"</t>
  </si>
  <si>
    <t>Развертывание сетей сбора телеметрической информации на приоритетных объектах транспортной инфраструктуры</t>
  </si>
  <si>
    <t>182D206800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</si>
  <si>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</si>
  <si>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</si>
  <si>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</si>
  <si>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</si>
  <si>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</si>
  <si>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>251F255550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</si>
  <si>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</si>
  <si>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251F254240</t>
  </si>
  <si>
    <t xml:space="preserve">5.2  </t>
  </si>
  <si>
    <t>Региональный проект "Обеспечение устойчивого  сокращения непригодного для проживания жилищного фонда"</t>
  </si>
  <si>
    <t>Приобретение жилых помещений за счёт средств государственной корпорации - Фонда содействия реформированию жилищно-коммунального хозяйства</t>
  </si>
  <si>
    <t>132F319502</t>
  </si>
  <si>
    <t>Приобретение жилых помещений за счет средств областного бюджета</t>
  </si>
  <si>
    <t>132F319602</t>
  </si>
  <si>
    <t>Выкуп жилых помещений у собственников за счет средств государственной корпорации - Фонда содействия реформированию жилищно-коммунального хозяйства</t>
  </si>
  <si>
    <t>132F329502</t>
  </si>
  <si>
    <t>Выкуп жилых помещений у собственников за счет средств областного бюджета</t>
  </si>
  <si>
    <t>132F329602</t>
  </si>
  <si>
    <t>6</t>
  </si>
  <si>
    <t>Национальный проект "Экология"</t>
  </si>
  <si>
    <t>6.1</t>
  </si>
  <si>
    <t>Региональный проект "Сохранение лесов", всего</t>
  </si>
  <si>
    <t>Увеличение площади лесовосстановления</t>
  </si>
  <si>
    <t>Департамент лесного хозяйства Томской области</t>
  </si>
  <si>
    <t>153GA54290</t>
  </si>
  <si>
    <t>Оснащение учреждений, выполняющих мероприятия по воспроизводству лесов, специализированной лесохозяйственной техникой и оборудованием для проведения комплекса мероприятий по лесовосстановлению и лесоразведению</t>
  </si>
  <si>
    <t>153GA54300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</si>
  <si>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</si>
  <si>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153GA54320</t>
  </si>
  <si>
    <t>6.2</t>
  </si>
  <si>
    <t>Региональный проект "Чистая вода", всего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</si>
  <si>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</si>
  <si>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</si>
  <si>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191G552430</t>
  </si>
  <si>
    <t>6.3</t>
  </si>
  <si>
    <t xml:space="preserve"> Региональный проект «Комплексная система обращения с твердыми коммунальными отходами», всего</t>
  </si>
  <si>
    <t>Введение в промышленную эксплуатацию мощностей по обработке твердых коммунальных отходов и мощностей по утилизации отходов и фракций после обработки твердых коммунальных отходов</t>
  </si>
  <si>
    <t>Департамент природных ресурсов и охраны окружающей среды Томской области</t>
  </si>
  <si>
    <t>151G252970</t>
  </si>
  <si>
    <t>6.4</t>
  </si>
  <si>
    <t>Региональный проект «Сохранение уникальных водных объектов»</t>
  </si>
  <si>
    <t>Восстановление и экологическая реабилитация водных объектов</t>
  </si>
  <si>
    <t>152G850570</t>
  </si>
  <si>
    <t>7</t>
  </si>
  <si>
    <t>Национальный проект "Безопасные и качественные автомобильные дороги"</t>
  </si>
  <si>
    <t>7.1</t>
  </si>
  <si>
    <t>Региональный проект "Дорожная сеть", всего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</si>
  <si>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</si>
  <si>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Департамент транспорта, дорожной деятельности и связи Томской области</t>
  </si>
  <si>
    <t>182R153930</t>
  </si>
  <si>
    <t>8</t>
  </si>
  <si>
    <t>Национальный проект "Культура"</t>
  </si>
  <si>
    <t>8.1</t>
  </si>
  <si>
    <t>Региональный проект "Культурная среда", всего</t>
  </si>
  <si>
    <t>Государственная поддержка отрасли культуры  (Капитальный ремонт Дома культуры в п.Самуськи)</t>
  </si>
  <si>
    <t>Департамент по культуре Томской области</t>
  </si>
  <si>
    <t>101A155190</t>
  </si>
  <si>
    <t>101A154540</t>
  </si>
  <si>
    <t>8.2</t>
  </si>
  <si>
    <t>Региональный проект "Цифровая культура"</t>
  </si>
  <si>
    <t>Создание виртуальных концертных залов</t>
  </si>
  <si>
    <t>101A354530</t>
  </si>
  <si>
    <t>8.3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</si>
  <si>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</si>
  <si>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</si>
  <si>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101A204300</t>
  </si>
  <si>
    <t>Реализация программ, направленных на укрепление единства нации, духовно-нравственное и патриотическое воспитание</t>
  </si>
  <si>
    <t>101A2Д0851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</si>
  <si>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</si>
  <si>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</si>
  <si>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</si>
  <si>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Региональный проект "Расширение доступа субъектов малого и среднего предпринимательства к финансовым ресурсам, в том числе к льготному финансированию", всего</t>
  </si>
  <si>
    <t>Государственная поддержка малого и среднего предпринимательства в субъектах Российской Федерации</t>
  </si>
  <si>
    <t>031I455270</t>
  </si>
  <si>
    <t>Развитие и обеспечение деятельности Гарантийного фонда Томской области</t>
  </si>
  <si>
    <t>031I455271</t>
  </si>
  <si>
    <t>9.2</t>
  </si>
  <si>
    <t>Региональный проект "Акселерация субъектов малого и среднего предпринимательства", всего</t>
  </si>
  <si>
    <t>031I555270</t>
  </si>
  <si>
    <t>Субсидии бюджетам монопрофильных муниципальных образований для оказания финансовой поддержки субъектам малого и среднего предпринимательства, занимающихся социально значимыми видами деятельности</t>
  </si>
  <si>
    <t>031I555272</t>
  </si>
  <si>
    <t>Организация оказания комплекса услуг, сервисов и мер поддержки субъектам малого и среднего предпринимательства в центре "Мой бизнес" - Центре кластерного развития Томской области</t>
  </si>
  <si>
    <t>031I555273</t>
  </si>
  <si>
    <t>Развитие региональной гарантийной организации в целях ускоренного развития субъектов малого и среднего предпринимательства в моногородах</t>
  </si>
  <si>
    <t>031I555274</t>
  </si>
  <si>
    <t>9.3</t>
  </si>
  <si>
    <t>Региональный проект "Популяризация предпринимательства", всего</t>
  </si>
  <si>
    <t>031I855270</t>
  </si>
  <si>
    <t>9.4</t>
  </si>
  <si>
    <t>Региональный проект "Создание системы поддержки фермеров и развитие сельской кооперации"</t>
  </si>
  <si>
    <t>Создание системы поддержки фермеров и развитие сельской кооперации</t>
  </si>
  <si>
    <t>Департамент по социально-экономическому развитию села Томской области</t>
  </si>
  <si>
    <t>061I754800</t>
  </si>
  <si>
    <t>Гранты "Агростартап" на реализацию проектов создания и развития крестьянских (фермерских) хозяйств</t>
  </si>
  <si>
    <t>061I754801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</si>
  <si>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</si>
  <si>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061I754802</t>
  </si>
  <si>
    <t>062I754802</t>
  </si>
  <si>
    <t>10</t>
  </si>
  <si>
    <t>Национальный проект "Производительность труда и поддержка занятости"</t>
  </si>
  <si>
    <t>10.1</t>
  </si>
  <si>
    <t>Региональный проект "Адресная поддержка повышения производительности труда на предприятиях", всего</t>
  </si>
  <si>
    <t>Государственная поддержка субъектов Российской Федерации - участников национального проекта "Повышение производительности труда и поддержка занятости"</t>
  </si>
  <si>
    <t>035L252960</t>
  </si>
  <si>
    <t>Реализация мероприятий по созданию, техническому оснащению и организационно-методическому сопровождению учебной производственной площадки "Фабрика процессов"</t>
  </si>
  <si>
    <t>035L200350</t>
  </si>
  <si>
    <t>035L252961</t>
  </si>
  <si>
    <t>10.2</t>
  </si>
  <si>
    <t>Региональный проект "Поддержка занятости и повышение эффективности рынка труда для обеспечения роста производительности труда"</t>
  </si>
  <si>
    <t>Переобучение, повышение квалификации работников предприятий в целях поддержки занятости и повышения эффективности рынка труда</t>
  </si>
  <si>
    <t>051L355690</t>
  </si>
  <si>
    <t>Возмещение затрат организациям – участникам регионального проекта "Поддержка занятости и повышение эффективности рынка труда для обеспечения роста производительности труда" на переобучение, повышение квалификации работников</t>
  </si>
  <si>
    <t>051L355691</t>
  </si>
  <si>
    <t>* по данным сводной бюджетной росписи областного бюджета на 2019, 2020, 2021 годы по состоянию на отчетную дату; лимиты бюджетных обязательств соответствуют плановым назначениям</t>
  </si>
  <si>
    <t>** по данным финансовых органов муниципальных образований (средства на софинансирование региональных проектов за счет местных бюджетов)</t>
  </si>
  <si>
    <t>083P540370</t>
  </si>
  <si>
    <t>Капитальный ремонт муниципальных спортивных сооружений</t>
  </si>
  <si>
    <t>083P54И380</t>
  </si>
  <si>
    <t>Строительство универсальных спортивных площадок в муниципальных образованиях Томской области</t>
  </si>
  <si>
    <t>091D362357</t>
  </si>
  <si>
    <t>Проведение тематических смен в сезонных лагерях для школьников по передовым направлениям дискретной математики, информатики, цифровых технологий</t>
  </si>
  <si>
    <t>091D364157</t>
  </si>
  <si>
    <t>Государственная поддержка создания и функционирования организаций дополнительного образования детей и (или) детских объединений на базе школ для углубленного изучения математики и информатики</t>
  </si>
  <si>
    <t>Организация деятельности мобильных бригад по доставке лиц старше 65 лет, проживающих в сельской местности, в медицинские организации</t>
  </si>
  <si>
    <t>112P352931</t>
  </si>
  <si>
    <t>026</t>
  </si>
  <si>
    <t>Переселение граждан из аварийного жилищного фонда за счет средств, поступивших от Фонда содействия реформированию жилищно-коммунального хозяйства</t>
  </si>
  <si>
    <t>132F367483</t>
  </si>
  <si>
    <t>Переселение граждан из аварийного жилищного фонда за счет средств областного бюджета</t>
  </si>
  <si>
    <t>132F367484</t>
  </si>
  <si>
    <t>201D600005</t>
  </si>
  <si>
    <t>Обеспечение регистрации пользователей в единой биометрической системе в МФЦ</t>
  </si>
  <si>
    <t>Создание новых мест в общеобразовательных организациях</t>
  </si>
  <si>
    <t>241E1Д5200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</si>
  <si>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</si>
  <si>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% исполнения</t>
  </si>
  <si>
    <t>**.*.P*.*****,**.*.N*.*****,**.*.E*.*****,**.*.F*.*****,**.*.G*.*****,**.*.R*.*****,**.*.L*.*****,**.*.D*.*****,**.*.A*.*****,**.*.I*.*****</t>
  </si>
  <si>
    <t>Кассовое исполнение</t>
  </si>
  <si>
    <t>Плановые ассигнования</t>
  </si>
  <si>
    <t>Информация о плановых ассигнованиях и кассовом исполнении расходов консолидированного бюджета Томской области
на реализацию региональных проектов Томской области по состоянию на 08.11.2019</t>
  </si>
  <si>
    <t>201D622500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</si>
  <si>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</si>
  <si>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3.6</t>
  </si>
  <si>
    <t>Региональный проект "Поддержка семей, имеющих детей", всего</t>
  </si>
  <si>
    <t>Государственная поддержка некоммерческих организаций в целях оказания психолого-педагогической, методической и консультативной помощи гражданам, имеющим детей</t>
  </si>
  <si>
    <t>091E362292</t>
  </si>
  <si>
    <t>092P251591</t>
  </si>
  <si>
    <t>Оснащение зданий оборудованием и инвентарем для размещения дошкольных образовательных организаций</t>
  </si>
  <si>
    <t>051P352942</t>
  </si>
  <si>
    <t>Новое строительство и реконструкция(Хирургический корпус на 120 коек с поликлиникой на 200 п/смену ОГАУЗ "Томский областной онкологический диспансер" )</t>
  </si>
  <si>
    <t xml:space="preserve">Софинансирование капитальных вложений в объекты государственной собственности субъектов Российской Федерации </t>
  </si>
  <si>
    <t>076N352270</t>
  </si>
  <si>
    <t>Субсидия автономной некоммерческой организации дополнительного профессионального образования "Энергетик" (АНО ДПО "Энергетик")</t>
  </si>
  <si>
    <t>Создание новых мест в общеобразовательных организациях, расположенных в сельской местности и поселках городского типа (Корниловская СОШ)</t>
  </si>
  <si>
    <t xml:space="preserve">Плановые ассигнования*, в том числе 
в том числе   </t>
  </si>
  <si>
    <t>Возмещение затрат работодателям на профессиональное обучение и дополнительное профессиональное образование работников из числа лиц предпенсионного возраста</t>
  </si>
  <si>
    <t>Плановые ассигнования, в том числе</t>
  </si>
  <si>
    <t>Удельный вес в общем объеме расходов на реализацию нацпроектов, %</t>
  </si>
  <si>
    <t>за счет средств местного бюджета</t>
  </si>
  <si>
    <t> 10,308</t>
  </si>
  <si>
    <t>Информация о плановых ассигнованиях и кассовом исполнении расходов консолидированного бюджета Томской области
на реализацию региональных проектов Томской области по состоянию на 01.12.2019</t>
  </si>
</sst>
</file>

<file path=xl/styles.xml><?xml version="1.0" encoding="utf-8"?>
<styleSheet xmlns="http://schemas.openxmlformats.org/spreadsheetml/2006/main">
  <numFmts count="5">
    <numFmt numFmtId="164" formatCode="#,##0.0"/>
    <numFmt numFmtId="165" formatCode="0.0%"/>
    <numFmt numFmtId="166" formatCode="0.000"/>
    <numFmt numFmtId="167" formatCode="#,##0.000"/>
    <numFmt numFmtId="168" formatCode="0.000%"/>
  </numFmts>
  <fonts count="23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i/>
      <sz val="13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name val="Times New Roman"/>
      <family val="1"/>
      <charset val="204"/>
    </font>
    <font>
      <i/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i/>
      <sz val="11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3"/>
      <color rgb="FFFF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3"/>
      <color rgb="FF0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49" fontId="3" fillId="2" borderId="4" xfId="0" applyNumberFormat="1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  <xf numFmtId="0" fontId="0" fillId="0" borderId="0" xfId="0" applyFill="1"/>
    <xf numFmtId="0" fontId="1" fillId="0" borderId="0" xfId="0" applyFont="1" applyFill="1" applyAlignment="1">
      <alignment horizontal="center"/>
    </xf>
    <xf numFmtId="11" fontId="0" fillId="0" borderId="0" xfId="0" applyNumberFormat="1" applyFill="1"/>
    <xf numFmtId="4" fontId="0" fillId="0" borderId="0" xfId="0" applyNumberFormat="1" applyFill="1"/>
    <xf numFmtId="0" fontId="2" fillId="0" borderId="0" xfId="0" applyFont="1" applyFill="1" applyAlignment="1">
      <alignment horizontal="right"/>
    </xf>
    <xf numFmtId="0" fontId="3" fillId="0" borderId="4" xfId="0" applyFont="1" applyFill="1" applyBorder="1" applyAlignment="1">
      <alignment horizontal="center" vertical="top" wrapText="1"/>
    </xf>
    <xf numFmtId="49" fontId="3" fillId="0" borderId="4" xfId="0" applyNumberFormat="1" applyFont="1" applyFill="1" applyBorder="1" applyAlignment="1">
      <alignment horizontal="center" vertical="top"/>
    </xf>
    <xf numFmtId="0" fontId="3" fillId="0" borderId="6" xfId="0" applyFont="1" applyFill="1" applyBorder="1" applyAlignment="1">
      <alignment horizontal="center" vertical="top" wrapText="1"/>
    </xf>
    <xf numFmtId="49" fontId="5" fillId="0" borderId="4" xfId="0" applyNumberFormat="1" applyFont="1" applyFill="1" applyBorder="1" applyAlignment="1">
      <alignment horizontal="center" vertical="top"/>
    </xf>
    <xf numFmtId="0" fontId="3" fillId="0" borderId="4" xfId="0" applyFont="1" applyFill="1" applyBorder="1" applyAlignment="1">
      <alignment horizontal="center" vertical="top"/>
    </xf>
    <xf numFmtId="0" fontId="5" fillId="0" borderId="4" xfId="0" applyFont="1" applyFill="1" applyBorder="1" applyAlignment="1">
      <alignment horizontal="center" vertical="top"/>
    </xf>
    <xf numFmtId="0" fontId="5" fillId="0" borderId="4" xfId="0" applyFont="1" applyFill="1" applyBorder="1" applyAlignment="1">
      <alignment horizontal="center" vertical="top" wrapText="1"/>
    </xf>
    <xf numFmtId="49" fontId="9" fillId="0" borderId="4" xfId="0" applyNumberFormat="1" applyFont="1" applyFill="1" applyBorder="1" applyAlignment="1">
      <alignment horizontal="center" vertical="top"/>
    </xf>
    <xf numFmtId="0" fontId="9" fillId="0" borderId="4" xfId="0" applyFont="1" applyFill="1" applyBorder="1" applyAlignment="1">
      <alignment horizontal="center" vertical="top"/>
    </xf>
    <xf numFmtId="0" fontId="9" fillId="0" borderId="4" xfId="0" applyFont="1" applyFill="1" applyBorder="1" applyAlignment="1">
      <alignment horizontal="center" vertical="top" wrapText="1"/>
    </xf>
    <xf numFmtId="0" fontId="12" fillId="0" borderId="0" xfId="0" applyFont="1" applyFill="1"/>
    <xf numFmtId="11" fontId="5" fillId="0" borderId="4" xfId="0" applyNumberFormat="1" applyFont="1" applyFill="1" applyBorder="1" applyAlignment="1">
      <alignment horizontal="center" vertical="top"/>
    </xf>
    <xf numFmtId="0" fontId="8" fillId="0" borderId="0" xfId="0" applyFont="1" applyFill="1"/>
    <xf numFmtId="0" fontId="0" fillId="0" borderId="0" xfId="0" applyFill="1" applyAlignment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/>
    </xf>
    <xf numFmtId="0" fontId="8" fillId="0" borderId="0" xfId="0" applyFont="1" applyFill="1" applyAlignment="1">
      <alignment vertical="center"/>
    </xf>
    <xf numFmtId="0" fontId="3" fillId="2" borderId="4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 wrapText="1"/>
    </xf>
    <xf numFmtId="164" fontId="6" fillId="0" borderId="4" xfId="0" applyNumberFormat="1" applyFont="1" applyFill="1" applyBorder="1" applyAlignment="1">
      <alignment horizontal="center" vertical="top" wrapText="1"/>
    </xf>
    <xf numFmtId="164" fontId="3" fillId="2" borderId="4" xfId="0" applyNumberFormat="1" applyFont="1" applyFill="1" applyBorder="1" applyAlignment="1">
      <alignment horizontal="center" vertical="top"/>
    </xf>
    <xf numFmtId="164" fontId="3" fillId="0" borderId="4" xfId="0" applyNumberFormat="1" applyFont="1" applyFill="1" applyBorder="1" applyAlignment="1">
      <alignment horizontal="center" vertical="top"/>
    </xf>
    <xf numFmtId="164" fontId="5" fillId="0" borderId="4" xfId="0" applyNumberFormat="1" applyFont="1" applyFill="1" applyBorder="1" applyAlignment="1">
      <alignment horizontal="center" vertical="top"/>
    </xf>
    <xf numFmtId="164" fontId="11" fillId="0" borderId="4" xfId="0" applyNumberFormat="1" applyFont="1" applyFill="1" applyBorder="1" applyAlignment="1">
      <alignment horizontal="center" vertical="top"/>
    </xf>
    <xf numFmtId="164" fontId="9" fillId="0" borderId="4" xfId="0" applyNumberFormat="1" applyFont="1" applyFill="1" applyBorder="1" applyAlignment="1">
      <alignment horizontal="center" vertical="top"/>
    </xf>
    <xf numFmtId="49" fontId="3" fillId="3" borderId="4" xfId="0" applyNumberFormat="1" applyFont="1" applyFill="1" applyBorder="1" applyAlignment="1">
      <alignment horizontal="center" vertical="top"/>
    </xf>
    <xf numFmtId="0" fontId="3" fillId="3" borderId="4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top"/>
    </xf>
    <xf numFmtId="164" fontId="3" fillId="3" borderId="4" xfId="0" applyNumberFormat="1" applyFont="1" applyFill="1" applyBorder="1" applyAlignment="1">
      <alignment horizontal="center" vertical="top"/>
    </xf>
    <xf numFmtId="165" fontId="6" fillId="0" borderId="4" xfId="0" applyNumberFormat="1" applyFont="1" applyFill="1" applyBorder="1" applyAlignment="1">
      <alignment horizontal="center" vertical="top" wrapText="1"/>
    </xf>
    <xf numFmtId="165" fontId="3" fillId="2" borderId="4" xfId="0" applyNumberFormat="1" applyFont="1" applyFill="1" applyBorder="1" applyAlignment="1">
      <alignment horizontal="center" vertical="top"/>
    </xf>
    <xf numFmtId="165" fontId="3" fillId="0" borderId="4" xfId="0" applyNumberFormat="1" applyFont="1" applyFill="1" applyBorder="1" applyAlignment="1">
      <alignment horizontal="center" vertical="top"/>
    </xf>
    <xf numFmtId="165" fontId="5" fillId="0" borderId="4" xfId="0" applyNumberFormat="1" applyFont="1" applyFill="1" applyBorder="1" applyAlignment="1">
      <alignment horizontal="center" vertical="top"/>
    </xf>
    <xf numFmtId="165" fontId="3" fillId="3" borderId="4" xfId="0" applyNumberFormat="1" applyFont="1" applyFill="1" applyBorder="1" applyAlignment="1">
      <alignment horizontal="center" vertical="top"/>
    </xf>
    <xf numFmtId="165" fontId="9" fillId="0" borderId="4" xfId="0" applyNumberFormat="1" applyFont="1" applyFill="1" applyBorder="1" applyAlignment="1">
      <alignment horizontal="center" vertical="top"/>
    </xf>
    <xf numFmtId="164" fontId="0" fillId="0" borderId="0" xfId="0" applyNumberFormat="1" applyFill="1"/>
    <xf numFmtId="0" fontId="13" fillId="0" borderId="7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/>
    </xf>
    <xf numFmtId="0" fontId="13" fillId="0" borderId="10" xfId="0" applyFont="1" applyBorder="1" applyAlignment="1">
      <alignment vertical="top" wrapText="1"/>
    </xf>
    <xf numFmtId="0" fontId="14" fillId="0" borderId="10" xfId="0" applyFont="1" applyBorder="1" applyAlignment="1">
      <alignment vertical="top"/>
    </xf>
    <xf numFmtId="0" fontId="14" fillId="0" borderId="10" xfId="0" applyFont="1" applyBorder="1" applyAlignment="1">
      <alignment vertical="top" wrapText="1"/>
    </xf>
    <xf numFmtId="165" fontId="15" fillId="0" borderId="10" xfId="0" applyNumberFormat="1" applyFont="1" applyBorder="1" applyAlignment="1">
      <alignment horizontal="center" vertical="top" wrapText="1"/>
    </xf>
    <xf numFmtId="165" fontId="16" fillId="0" borderId="10" xfId="0" applyNumberFormat="1" applyFont="1" applyBorder="1" applyAlignment="1">
      <alignment horizontal="center" vertical="top" wrapText="1"/>
    </xf>
    <xf numFmtId="0" fontId="3" fillId="0" borderId="4" xfId="0" applyFont="1" applyFill="1" applyBorder="1" applyAlignment="1">
      <alignment horizontal="left" vertical="top" wrapText="1"/>
    </xf>
    <xf numFmtId="4" fontId="3" fillId="0" borderId="4" xfId="0" applyNumberFormat="1" applyFont="1" applyFill="1" applyBorder="1" applyAlignment="1">
      <alignment horizontal="center" vertical="top"/>
    </xf>
    <xf numFmtId="166" fontId="0" fillId="0" borderId="0" xfId="0" applyNumberFormat="1"/>
    <xf numFmtId="0" fontId="3" fillId="0" borderId="4" xfId="0" applyFont="1" applyFill="1" applyBorder="1" applyAlignment="1">
      <alignment horizontal="center" vertical="top" wrapText="1"/>
    </xf>
    <xf numFmtId="165" fontId="18" fillId="0" borderId="4" xfId="0" applyNumberFormat="1" applyFont="1" applyFill="1" applyBorder="1" applyAlignment="1">
      <alignment horizontal="center" vertical="top"/>
    </xf>
    <xf numFmtId="49" fontId="18" fillId="0" borderId="4" xfId="0" applyNumberFormat="1" applyFont="1" applyFill="1" applyBorder="1" applyAlignment="1">
      <alignment horizontal="center" vertical="top"/>
    </xf>
    <xf numFmtId="0" fontId="18" fillId="0" borderId="4" xfId="0" applyFont="1" applyFill="1" applyBorder="1" applyAlignment="1">
      <alignment horizontal="left" vertical="center" wrapText="1"/>
    </xf>
    <xf numFmtId="164" fontId="18" fillId="0" borderId="4" xfId="0" applyNumberFormat="1" applyFont="1" applyFill="1" applyBorder="1" applyAlignment="1">
      <alignment horizontal="center" vertical="top"/>
    </xf>
    <xf numFmtId="0" fontId="17" fillId="0" borderId="0" xfId="0" applyFont="1" applyFill="1"/>
    <xf numFmtId="2" fontId="0" fillId="0" borderId="0" xfId="0" applyNumberFormat="1" applyFill="1"/>
    <xf numFmtId="2" fontId="0" fillId="4" borderId="0" xfId="0" applyNumberFormat="1" applyFill="1"/>
    <xf numFmtId="2" fontId="0" fillId="2" borderId="0" xfId="0" applyNumberFormat="1" applyFill="1"/>
    <xf numFmtId="2" fontId="0" fillId="3" borderId="0" xfId="0" applyNumberFormat="1" applyFill="1"/>
    <xf numFmtId="2" fontId="17" fillId="0" borderId="0" xfId="0" applyNumberFormat="1" applyFont="1" applyFill="1"/>
    <xf numFmtId="0" fontId="3" fillId="0" borderId="4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vertical="center" wrapText="1"/>
    </xf>
    <xf numFmtId="164" fontId="3" fillId="5" borderId="4" xfId="0" applyNumberFormat="1" applyFont="1" applyFill="1" applyBorder="1" applyAlignment="1">
      <alignment horizontal="center" vertical="top"/>
    </xf>
    <xf numFmtId="165" fontId="18" fillId="5" borderId="4" xfId="0" applyNumberFormat="1" applyFont="1" applyFill="1" applyBorder="1" applyAlignment="1">
      <alignment horizontal="center" vertical="top"/>
    </xf>
    <xf numFmtId="49" fontId="3" fillId="5" borderId="4" xfId="0" applyNumberFormat="1" applyFont="1" applyFill="1" applyBorder="1" applyAlignment="1">
      <alignment horizontal="center" vertical="top"/>
    </xf>
    <xf numFmtId="165" fontId="3" fillId="5" borderId="4" xfId="0" applyNumberFormat="1" applyFont="1" applyFill="1" applyBorder="1" applyAlignment="1">
      <alignment horizontal="center" vertical="top"/>
    </xf>
    <xf numFmtId="165" fontId="11" fillId="5" borderId="4" xfId="0" applyNumberFormat="1" applyFont="1" applyFill="1" applyBorder="1" applyAlignment="1">
      <alignment horizontal="center" vertical="top"/>
    </xf>
    <xf numFmtId="49" fontId="3" fillId="6" borderId="4" xfId="0" applyNumberFormat="1" applyFont="1" applyFill="1" applyBorder="1" applyAlignment="1">
      <alignment horizontal="center" vertical="top"/>
    </xf>
    <xf numFmtId="0" fontId="3" fillId="6" borderId="4" xfId="0" applyFont="1" applyFill="1" applyBorder="1" applyAlignment="1">
      <alignment horizontal="left" vertical="center" wrapText="1"/>
    </xf>
    <xf numFmtId="164" fontId="3" fillId="6" borderId="4" xfId="0" applyNumberFormat="1" applyFont="1" applyFill="1" applyBorder="1" applyAlignment="1">
      <alignment horizontal="center" vertical="top"/>
    </xf>
    <xf numFmtId="165" fontId="3" fillId="6" borderId="4" xfId="0" applyNumberFormat="1" applyFont="1" applyFill="1" applyBorder="1" applyAlignment="1">
      <alignment horizontal="center" vertical="top"/>
    </xf>
    <xf numFmtId="165" fontId="18" fillId="6" borderId="4" xfId="0" applyNumberFormat="1" applyFont="1" applyFill="1" applyBorder="1" applyAlignment="1">
      <alignment horizontal="center" vertical="top"/>
    </xf>
    <xf numFmtId="4" fontId="15" fillId="0" borderId="10" xfId="0" applyNumberFormat="1" applyFont="1" applyBorder="1" applyAlignment="1">
      <alignment horizontal="center" vertical="top" wrapText="1"/>
    </xf>
    <xf numFmtId="4" fontId="14" fillId="0" borderId="10" xfId="0" applyNumberFormat="1" applyFont="1" applyBorder="1" applyAlignment="1">
      <alignment horizontal="center" vertical="top"/>
    </xf>
    <xf numFmtId="0" fontId="3" fillId="0" borderId="4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 wrapText="1"/>
    </xf>
    <xf numFmtId="49" fontId="5" fillId="6" borderId="4" xfId="0" applyNumberFormat="1" applyFont="1" applyFill="1" applyBorder="1" applyAlignment="1">
      <alignment horizontal="center" vertical="top"/>
    </xf>
    <xf numFmtId="0" fontId="3" fillId="6" borderId="6" xfId="0" applyFont="1" applyFill="1" applyBorder="1" applyAlignment="1">
      <alignment horizontal="left" vertical="center" wrapText="1"/>
    </xf>
    <xf numFmtId="167" fontId="3" fillId="6" borderId="4" xfId="0" applyNumberFormat="1" applyFont="1" applyFill="1" applyBorder="1" applyAlignment="1">
      <alignment horizontal="center" vertical="top"/>
    </xf>
    <xf numFmtId="0" fontId="5" fillId="6" borderId="4" xfId="0" applyFont="1" applyFill="1" applyBorder="1" applyAlignment="1">
      <alignment horizontal="left" vertical="center"/>
    </xf>
    <xf numFmtId="167" fontId="5" fillId="6" borderId="4" xfId="0" applyNumberFormat="1" applyFont="1" applyFill="1" applyBorder="1" applyAlignment="1">
      <alignment horizontal="center" vertical="top"/>
    </xf>
    <xf numFmtId="0" fontId="7" fillId="6" borderId="4" xfId="0" applyFont="1" applyFill="1" applyBorder="1" applyAlignment="1">
      <alignment horizontal="left" vertical="center" wrapText="1"/>
    </xf>
    <xf numFmtId="0" fontId="7" fillId="6" borderId="1" xfId="0" applyFont="1" applyFill="1" applyBorder="1" applyAlignment="1">
      <alignment vertical="center" wrapText="1"/>
    </xf>
    <xf numFmtId="0" fontId="7" fillId="6" borderId="4" xfId="0" applyFont="1" applyFill="1" applyBorder="1" applyAlignment="1">
      <alignment vertical="center" wrapText="1"/>
    </xf>
    <xf numFmtId="49" fontId="9" fillId="6" borderId="4" xfId="0" applyNumberFormat="1" applyFont="1" applyFill="1" applyBorder="1" applyAlignment="1">
      <alignment horizontal="center" vertical="top"/>
    </xf>
    <xf numFmtId="0" fontId="10" fillId="6" borderId="4" xfId="0" applyFont="1" applyFill="1" applyBorder="1" applyAlignment="1">
      <alignment horizontal="left" vertical="center" wrapText="1"/>
    </xf>
    <xf numFmtId="167" fontId="9" fillId="6" borderId="4" xfId="0" applyNumberFormat="1" applyFont="1" applyFill="1" applyBorder="1" applyAlignment="1">
      <alignment horizontal="center" vertical="top"/>
    </xf>
    <xf numFmtId="0" fontId="5" fillId="6" borderId="4" xfId="0" applyFont="1" applyFill="1" applyBorder="1" applyAlignment="1">
      <alignment horizontal="left" vertical="center" wrapText="1"/>
    </xf>
    <xf numFmtId="0" fontId="7" fillId="6" borderId="4" xfId="0" applyFont="1" applyFill="1" applyBorder="1" applyAlignment="1">
      <alignment horizontal="left" vertical="center"/>
    </xf>
    <xf numFmtId="49" fontId="5" fillId="6" borderId="6" xfId="0" applyNumberFormat="1" applyFont="1" applyFill="1" applyBorder="1" applyAlignment="1">
      <alignment horizontal="center" vertical="top"/>
    </xf>
    <xf numFmtId="164" fontId="6" fillId="6" borderId="6" xfId="0" applyNumberFormat="1" applyFont="1" applyFill="1" applyBorder="1" applyAlignment="1">
      <alignment horizontal="center" vertical="top" wrapText="1"/>
    </xf>
    <xf numFmtId="167" fontId="3" fillId="6" borderId="6" xfId="0" applyNumberFormat="1" applyFont="1" applyFill="1" applyBorder="1" applyAlignment="1">
      <alignment horizontal="center" vertical="top" wrapText="1"/>
    </xf>
    <xf numFmtId="0" fontId="0" fillId="0" borderId="4" xfId="0" applyBorder="1" applyAlignment="1"/>
    <xf numFmtId="0" fontId="0" fillId="0" borderId="4" xfId="0" applyBorder="1"/>
    <xf numFmtId="168" fontId="6" fillId="0" borderId="5" xfId="0" applyNumberFormat="1" applyFont="1" applyFill="1" applyBorder="1" applyAlignment="1">
      <alignment horizontal="center" vertical="top" wrapText="1"/>
    </xf>
    <xf numFmtId="0" fontId="20" fillId="0" borderId="10" xfId="0" applyFont="1" applyBorder="1" applyAlignment="1">
      <alignment horizontal="center" vertical="top"/>
    </xf>
    <xf numFmtId="0" fontId="20" fillId="0" borderId="8" xfId="0" applyFont="1" applyBorder="1" applyAlignment="1">
      <alignment horizontal="center" vertical="top"/>
    </xf>
    <xf numFmtId="0" fontId="21" fillId="7" borderId="9" xfId="0" applyFont="1" applyFill="1" applyBorder="1" applyAlignment="1">
      <alignment horizontal="center" vertical="top"/>
    </xf>
    <xf numFmtId="0" fontId="20" fillId="7" borderId="10" xfId="0" applyFont="1" applyFill="1" applyBorder="1" applyAlignment="1">
      <alignment wrapText="1"/>
    </xf>
    <xf numFmtId="0" fontId="21" fillId="7" borderId="10" xfId="0" applyFont="1" applyFill="1" applyBorder="1"/>
    <xf numFmtId="0" fontId="21" fillId="7" borderId="10" xfId="0" applyFont="1" applyFill="1" applyBorder="1" applyAlignment="1">
      <alignment wrapText="1"/>
    </xf>
    <xf numFmtId="167" fontId="22" fillId="7" borderId="10" xfId="0" applyNumberFormat="1" applyFont="1" applyFill="1" applyBorder="1" applyAlignment="1">
      <alignment horizontal="right" wrapText="1"/>
    </xf>
    <xf numFmtId="167" fontId="19" fillId="0" borderId="10" xfId="0" applyNumberFormat="1" applyFont="1" applyBorder="1" applyAlignment="1">
      <alignment horizontal="right"/>
    </xf>
    <xf numFmtId="167" fontId="22" fillId="7" borderId="10" xfId="0" applyNumberFormat="1" applyFont="1" applyFill="1" applyBorder="1" applyAlignment="1">
      <alignment horizontal="right"/>
    </xf>
    <xf numFmtId="167" fontId="19" fillId="7" borderId="10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164" fontId="5" fillId="0" borderId="1" xfId="0" applyNumberFormat="1" applyFont="1" applyFill="1" applyBorder="1" applyAlignment="1">
      <alignment horizontal="center" vertical="top"/>
    </xf>
    <xf numFmtId="164" fontId="5" fillId="0" borderId="6" xfId="0" applyNumberFormat="1" applyFont="1" applyFill="1" applyBorder="1" applyAlignment="1">
      <alignment horizontal="center" vertical="top"/>
    </xf>
    <xf numFmtId="0" fontId="4" fillId="0" borderId="5" xfId="0" applyFont="1" applyFill="1" applyBorder="1"/>
    <xf numFmtId="0" fontId="4" fillId="0" borderId="6" xfId="0" applyFont="1" applyFill="1" applyBorder="1"/>
    <xf numFmtId="0" fontId="1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3" fillId="0" borderId="4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center" vertical="top" wrapText="1"/>
    </xf>
    <xf numFmtId="0" fontId="19" fillId="0" borderId="12" xfId="0" applyFont="1" applyBorder="1"/>
    <xf numFmtId="0" fontId="19" fillId="0" borderId="9" xfId="0" applyFont="1" applyBorder="1"/>
    <xf numFmtId="0" fontId="20" fillId="0" borderId="12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0" fontId="20" fillId="0" borderId="14" xfId="0" applyFont="1" applyBorder="1" applyAlignment="1">
      <alignment horizontal="center" vertical="top"/>
    </xf>
    <xf numFmtId="0" fontId="20" fillId="0" borderId="13" xfId="0" applyFont="1" applyBorder="1" applyAlignment="1">
      <alignment horizontal="center" vertical="top"/>
    </xf>
    <xf numFmtId="0" fontId="20" fillId="0" borderId="8" xfId="0" applyFont="1" applyBorder="1" applyAlignment="1">
      <alignment horizontal="center" vertical="top"/>
    </xf>
    <xf numFmtId="0" fontId="20" fillId="0" borderId="12" xfId="0" applyFont="1" applyBorder="1" applyAlignment="1">
      <alignment horizontal="center" vertical="top" wrapText="1"/>
    </xf>
    <xf numFmtId="0" fontId="20" fillId="0" borderId="9" xfId="0" applyFont="1" applyBorder="1" applyAlignment="1">
      <alignment horizontal="center" vertical="top" wrapText="1"/>
    </xf>
    <xf numFmtId="49" fontId="5" fillId="6" borderId="1" xfId="0" applyNumberFormat="1" applyFont="1" applyFill="1" applyBorder="1" applyAlignment="1">
      <alignment horizontal="center" vertical="center"/>
    </xf>
    <xf numFmtId="49" fontId="5" fillId="6" borderId="6" xfId="0" applyNumberFormat="1" applyFont="1" applyFill="1" applyBorder="1" applyAlignment="1">
      <alignment horizontal="center" vertical="center"/>
    </xf>
    <xf numFmtId="167" fontId="5" fillId="6" borderId="1" xfId="0" applyNumberFormat="1" applyFont="1" applyFill="1" applyBorder="1" applyAlignment="1">
      <alignment horizontal="center" vertical="top"/>
    </xf>
    <xf numFmtId="167" fontId="5" fillId="6" borderId="6" xfId="0" applyNumberFormat="1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27"/>
  <sheetViews>
    <sheetView tabSelected="1" zoomScale="83" zoomScaleNormal="83" workbookViewId="0">
      <pane xSplit="5" ySplit="7" topLeftCell="J104" activePane="bottomRight" state="frozen"/>
      <selection pane="topRight" activeCell="F1" sqref="F1"/>
      <selection pane="bottomLeft" activeCell="A8" sqref="A8"/>
      <selection pane="bottomRight" activeCell="T12" sqref="T12"/>
    </sheetView>
  </sheetViews>
  <sheetFormatPr defaultColWidth="8.85546875" defaultRowHeight="15"/>
  <cols>
    <col min="1" max="1" width="6.42578125" style="3" customWidth="1"/>
    <col min="2" max="2" width="49" style="21" customWidth="1"/>
    <col min="3" max="3" width="7.7109375" style="3" customWidth="1"/>
    <col min="4" max="4" width="21.5703125" style="3" customWidth="1"/>
    <col min="5" max="6" width="15.5703125" style="3" customWidth="1"/>
    <col min="7" max="7" width="15.28515625" style="3" customWidth="1"/>
    <col min="8" max="9" width="16.7109375" style="3" customWidth="1"/>
    <col min="10" max="10" width="14.28515625" style="3" customWidth="1"/>
    <col min="11" max="11" width="17" style="3" customWidth="1"/>
    <col min="12" max="12" width="16.85546875" style="3" customWidth="1"/>
    <col min="13" max="13" width="16.42578125" style="3" customWidth="1"/>
    <col min="14" max="14" width="16.28515625" style="3" customWidth="1"/>
    <col min="15" max="17" width="16.42578125" style="3" customWidth="1"/>
    <col min="18" max="22" width="16.7109375" style="3" customWidth="1"/>
    <col min="23" max="23" width="12.5703125" style="3" hidden="1" customWidth="1"/>
    <col min="24" max="16384" width="8.85546875" style="3"/>
  </cols>
  <sheetData>
    <row r="1" spans="1:23" ht="18.75">
      <c r="B1" s="133" t="s">
        <v>366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4"/>
    </row>
    <row r="2" spans="1:23" ht="18.75"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4"/>
    </row>
    <row r="3" spans="1:23">
      <c r="E3" s="5"/>
      <c r="F3" s="6"/>
      <c r="G3" s="49"/>
      <c r="H3" s="49"/>
      <c r="I3" s="49"/>
      <c r="K3" s="49"/>
      <c r="L3" s="49"/>
      <c r="M3" s="49"/>
      <c r="N3" s="6"/>
      <c r="O3" s="6"/>
      <c r="T3" s="7"/>
      <c r="U3" s="7"/>
    </row>
    <row r="4" spans="1:23" ht="16.5">
      <c r="A4" s="123" t="s">
        <v>0</v>
      </c>
      <c r="B4" s="126" t="s">
        <v>1</v>
      </c>
      <c r="C4" s="123" t="s">
        <v>2</v>
      </c>
      <c r="D4" s="123" t="s">
        <v>3</v>
      </c>
      <c r="E4" s="123" t="s">
        <v>4</v>
      </c>
      <c r="F4" s="136" t="s">
        <v>5</v>
      </c>
      <c r="G4" s="137"/>
      <c r="H4" s="137"/>
      <c r="I4" s="137"/>
      <c r="J4" s="137"/>
      <c r="K4" s="137"/>
      <c r="L4" s="137"/>
      <c r="M4" s="138"/>
      <c r="N4" s="136" t="s">
        <v>6</v>
      </c>
      <c r="O4" s="137"/>
      <c r="P4" s="137"/>
      <c r="Q4" s="138"/>
      <c r="R4" s="135" t="s">
        <v>7</v>
      </c>
      <c r="S4" s="135"/>
      <c r="T4" s="135"/>
      <c r="U4" s="135"/>
      <c r="V4" s="123" t="s">
        <v>341</v>
      </c>
    </row>
    <row r="5" spans="1:23" ht="16.5" customHeight="1">
      <c r="A5" s="124"/>
      <c r="B5" s="127"/>
      <c r="C5" s="124"/>
      <c r="D5" s="124"/>
      <c r="E5" s="131"/>
      <c r="F5" s="136" t="s">
        <v>8</v>
      </c>
      <c r="G5" s="137"/>
      <c r="H5" s="137"/>
      <c r="I5" s="138"/>
      <c r="J5" s="136" t="s">
        <v>9</v>
      </c>
      <c r="K5" s="137"/>
      <c r="L5" s="137"/>
      <c r="M5" s="138"/>
      <c r="N5" s="136" t="s">
        <v>360</v>
      </c>
      <c r="O5" s="137"/>
      <c r="P5" s="137"/>
      <c r="Q5" s="138"/>
      <c r="R5" s="135" t="s">
        <v>10</v>
      </c>
      <c r="S5" s="135"/>
      <c r="T5" s="135"/>
      <c r="U5" s="135"/>
      <c r="V5" s="124"/>
    </row>
    <row r="6" spans="1:23" ht="71.45" customHeight="1">
      <c r="A6" s="125"/>
      <c r="B6" s="128"/>
      <c r="C6" s="125"/>
      <c r="D6" s="125"/>
      <c r="E6" s="132"/>
      <c r="F6" s="8" t="s">
        <v>11</v>
      </c>
      <c r="G6" s="8" t="s">
        <v>12</v>
      </c>
      <c r="H6" s="8" t="s">
        <v>13</v>
      </c>
      <c r="I6" s="72" t="s">
        <v>14</v>
      </c>
      <c r="J6" s="8" t="s">
        <v>11</v>
      </c>
      <c r="K6" s="8" t="s">
        <v>12</v>
      </c>
      <c r="L6" s="8" t="s">
        <v>13</v>
      </c>
      <c r="M6" s="89" t="s">
        <v>14</v>
      </c>
      <c r="N6" s="8" t="s">
        <v>11</v>
      </c>
      <c r="O6" s="8" t="s">
        <v>12</v>
      </c>
      <c r="P6" s="8" t="s">
        <v>13</v>
      </c>
      <c r="Q6" s="89" t="s">
        <v>14</v>
      </c>
      <c r="R6" s="8" t="s">
        <v>11</v>
      </c>
      <c r="S6" s="8" t="s">
        <v>12</v>
      </c>
      <c r="T6" s="8" t="s">
        <v>13</v>
      </c>
      <c r="U6" s="72" t="s">
        <v>14</v>
      </c>
      <c r="V6" s="125"/>
    </row>
    <row r="7" spans="1:23" ht="16.5">
      <c r="A7" s="9" t="s">
        <v>15</v>
      </c>
      <c r="B7" s="22">
        <v>2</v>
      </c>
      <c r="C7" s="10">
        <v>3</v>
      </c>
      <c r="D7" s="10">
        <v>4</v>
      </c>
      <c r="E7" s="10">
        <v>5</v>
      </c>
      <c r="F7" s="8">
        <v>6</v>
      </c>
      <c r="G7" s="8">
        <v>7</v>
      </c>
      <c r="H7" s="8">
        <v>8</v>
      </c>
      <c r="I7" s="72">
        <v>9</v>
      </c>
      <c r="J7" s="8">
        <v>10</v>
      </c>
      <c r="K7" s="8">
        <v>11</v>
      </c>
      <c r="L7" s="8">
        <v>12</v>
      </c>
      <c r="M7" s="89">
        <v>13</v>
      </c>
      <c r="N7" s="8">
        <v>14</v>
      </c>
      <c r="O7" s="8">
        <v>15</v>
      </c>
      <c r="P7" s="8">
        <v>16</v>
      </c>
      <c r="Q7" s="72">
        <v>17</v>
      </c>
      <c r="R7" s="8">
        <v>18</v>
      </c>
      <c r="S7" s="8">
        <v>19</v>
      </c>
      <c r="T7" s="8">
        <v>20</v>
      </c>
      <c r="U7" s="8">
        <v>21</v>
      </c>
      <c r="V7" s="8">
        <v>22</v>
      </c>
    </row>
    <row r="8" spans="1:23" ht="17.25">
      <c r="A8" s="11"/>
      <c r="B8" s="23" t="s">
        <v>16</v>
      </c>
      <c r="C8" s="10"/>
      <c r="D8" s="10"/>
      <c r="E8" s="10"/>
      <c r="F8" s="33">
        <f>F9+F43+F70+F107+F131+F143+F158+F162+F174+F194</f>
        <v>10307311.6</v>
      </c>
      <c r="G8" s="33">
        <f t="shared" ref="G8:U8" si="0">G9+G43+G70+G107+G131+G143+G158+G162+G174+G194</f>
        <v>3421884.1</v>
      </c>
      <c r="H8" s="33">
        <f t="shared" si="0"/>
        <v>6254472.9000000004</v>
      </c>
      <c r="I8" s="33">
        <f t="shared" si="0"/>
        <v>630954.5</v>
      </c>
      <c r="J8" s="33">
        <f t="shared" si="0"/>
        <v>7098118.2999999998</v>
      </c>
      <c r="K8" s="33">
        <f t="shared" si="0"/>
        <v>2535255</v>
      </c>
      <c r="L8" s="33">
        <f t="shared" si="0"/>
        <v>4119102.1</v>
      </c>
      <c r="M8" s="33">
        <f t="shared" si="0"/>
        <v>443761.2</v>
      </c>
      <c r="N8" s="33">
        <f t="shared" si="0"/>
        <v>9225736.1999999993</v>
      </c>
      <c r="O8" s="33">
        <f t="shared" si="0"/>
        <v>4628009.7</v>
      </c>
      <c r="P8" s="33">
        <f t="shared" si="0"/>
        <v>4168455</v>
      </c>
      <c r="Q8" s="33">
        <f t="shared" si="0"/>
        <v>429271.5</v>
      </c>
      <c r="R8" s="33">
        <f t="shared" si="0"/>
        <v>8472290.1999999993</v>
      </c>
      <c r="S8" s="33">
        <f t="shared" si="0"/>
        <v>3097368.7</v>
      </c>
      <c r="T8" s="33">
        <f t="shared" si="0"/>
        <v>4917867.9000000004</v>
      </c>
      <c r="U8" s="33">
        <f t="shared" si="0"/>
        <v>457053.6</v>
      </c>
      <c r="V8" s="43">
        <f>J8/F8</f>
        <v>0.68899999999999995</v>
      </c>
      <c r="W8" s="110">
        <f>F8/$F$8</f>
        <v>1</v>
      </c>
    </row>
    <row r="9" spans="1:23" ht="17.25">
      <c r="A9" s="1">
        <v>1</v>
      </c>
      <c r="B9" s="31" t="s">
        <v>17</v>
      </c>
      <c r="C9" s="2" t="s">
        <v>18</v>
      </c>
      <c r="D9" s="2" t="s">
        <v>18</v>
      </c>
      <c r="E9" s="2" t="s">
        <v>18</v>
      </c>
      <c r="F9" s="34">
        <f>F10+F21+F31+F36+F40</f>
        <v>2987672.4</v>
      </c>
      <c r="G9" s="34">
        <f t="shared" ref="G9:U9" si="1">G10+G21+G31+G36+G40</f>
        <v>1573811.1</v>
      </c>
      <c r="H9" s="34">
        <f t="shared" si="1"/>
        <v>1369595.5</v>
      </c>
      <c r="I9" s="34">
        <f t="shared" si="1"/>
        <v>44265.8</v>
      </c>
      <c r="J9" s="34">
        <f t="shared" si="1"/>
        <v>1469381.6</v>
      </c>
      <c r="K9" s="34">
        <f t="shared" si="1"/>
        <v>891230.1</v>
      </c>
      <c r="L9" s="34">
        <f t="shared" si="1"/>
        <v>546661.5</v>
      </c>
      <c r="M9" s="34">
        <f t="shared" si="1"/>
        <v>31490</v>
      </c>
      <c r="N9" s="34">
        <f t="shared" si="1"/>
        <v>2096979.7</v>
      </c>
      <c r="O9" s="34">
        <f t="shared" si="1"/>
        <v>1239106.7</v>
      </c>
      <c r="P9" s="34">
        <f t="shared" si="1"/>
        <v>849650.9</v>
      </c>
      <c r="Q9" s="34">
        <f t="shared" si="1"/>
        <v>8222.1</v>
      </c>
      <c r="R9" s="34">
        <f t="shared" si="1"/>
        <v>2704361.1</v>
      </c>
      <c r="S9" s="34">
        <f t="shared" si="1"/>
        <v>1222092.8999999999</v>
      </c>
      <c r="T9" s="34">
        <f t="shared" si="1"/>
        <v>1476268.3</v>
      </c>
      <c r="U9" s="34">
        <f t="shared" si="1"/>
        <v>5999.9</v>
      </c>
      <c r="V9" s="44">
        <f>J9/F9</f>
        <v>0.49199999999999999</v>
      </c>
      <c r="W9" s="110">
        <f t="shared" ref="W9:W72" si="2">F9/$F$8</f>
        <v>0.28986000000000001</v>
      </c>
    </row>
    <row r="10" spans="1:23" ht="33">
      <c r="A10" s="9" t="s">
        <v>19</v>
      </c>
      <c r="B10" s="24" t="s">
        <v>20</v>
      </c>
      <c r="C10" s="12" t="s">
        <v>18</v>
      </c>
      <c r="D10" s="12" t="s">
        <v>18</v>
      </c>
      <c r="E10" s="12" t="s">
        <v>18</v>
      </c>
      <c r="F10" s="35">
        <f>SUM(G10:H10)</f>
        <v>348929.6</v>
      </c>
      <c r="G10" s="35">
        <f>SUM(G12:G20)</f>
        <v>15230.8</v>
      </c>
      <c r="H10" s="35">
        <f>SUM(H12:H20)</f>
        <v>333698.8</v>
      </c>
      <c r="I10" s="35">
        <f>SUM(I12:I20)</f>
        <v>0</v>
      </c>
      <c r="J10" s="35">
        <f>SUM(K10:L10)</f>
        <v>170078.9</v>
      </c>
      <c r="K10" s="35">
        <f>SUM(K12:K20)</f>
        <v>6752.4</v>
      </c>
      <c r="L10" s="35">
        <f>SUM(L12:L20)</f>
        <v>163326.5</v>
      </c>
      <c r="M10" s="35">
        <f>SUM(M12:M20)</f>
        <v>0</v>
      </c>
      <c r="N10" s="35">
        <f>SUM(O10:P10)</f>
        <v>260053.7</v>
      </c>
      <c r="O10" s="35">
        <f>SUM(O12:O20)</f>
        <v>7939.8</v>
      </c>
      <c r="P10" s="35">
        <f>SUM(P12:P20)</f>
        <v>252113.9</v>
      </c>
      <c r="Q10" s="35">
        <f>SUM(Q12:Q20)</f>
        <v>0</v>
      </c>
      <c r="R10" s="35">
        <f>SUM(S10:U10)</f>
        <v>89065.4</v>
      </c>
      <c r="S10" s="35">
        <f>SUM(S12:S20)</f>
        <v>3030.3</v>
      </c>
      <c r="T10" s="35">
        <f>SUM(T12:T20)</f>
        <v>86035.1</v>
      </c>
      <c r="U10" s="35">
        <f>SUM(U12:U20)</f>
        <v>0</v>
      </c>
      <c r="V10" s="45">
        <f>J10/F10</f>
        <v>0.48699999999999999</v>
      </c>
      <c r="W10" s="110">
        <f t="shared" si="2"/>
        <v>3.3849999999999998E-2</v>
      </c>
    </row>
    <row r="11" spans="1:23" ht="17.25">
      <c r="A11" s="9"/>
      <c r="B11" s="25" t="s">
        <v>21</v>
      </c>
      <c r="C11" s="13"/>
      <c r="D11" s="13"/>
      <c r="E11" s="13"/>
      <c r="F11" s="35"/>
      <c r="G11" s="36"/>
      <c r="H11" s="36"/>
      <c r="I11" s="36"/>
      <c r="J11" s="35"/>
      <c r="K11" s="36"/>
      <c r="L11" s="36"/>
      <c r="M11" s="36"/>
      <c r="N11" s="35"/>
      <c r="O11" s="36"/>
      <c r="P11" s="36"/>
      <c r="Q11" s="36"/>
      <c r="R11" s="35"/>
      <c r="S11" s="36"/>
      <c r="T11" s="36"/>
      <c r="U11" s="36"/>
      <c r="V11" s="46"/>
      <c r="W11" s="110">
        <f t="shared" si="2"/>
        <v>0</v>
      </c>
    </row>
    <row r="12" spans="1:23" ht="66">
      <c r="A12" s="9" t="s">
        <v>22</v>
      </c>
      <c r="B12" s="26" t="s">
        <v>23</v>
      </c>
      <c r="C12" s="13">
        <v>839</v>
      </c>
      <c r="D12" s="14" t="s">
        <v>24</v>
      </c>
      <c r="E12" s="13" t="s">
        <v>25</v>
      </c>
      <c r="F12" s="35">
        <f>SUM(G12:H12)+I12</f>
        <v>18193.5</v>
      </c>
      <c r="G12" s="36">
        <f>1257.1-165.9-181.53</f>
        <v>909.7</v>
      </c>
      <c r="H12" s="36">
        <f>23884.6-3151.8-3448.98</f>
        <v>17283.8</v>
      </c>
      <c r="I12" s="36"/>
      <c r="J12" s="35">
        <f t="shared" ref="J12:J20" si="3">SUM(K12:L12)</f>
        <v>9352.5</v>
      </c>
      <c r="K12" s="36">
        <f>240.8+15.39+68.35+53.45+83.35+6.36</f>
        <v>467.7</v>
      </c>
      <c r="L12" s="36">
        <f>4574.1+292.33+1298.52+1015.44+1583.52+120.89</f>
        <v>8884.7999999999993</v>
      </c>
      <c r="M12" s="36"/>
      <c r="N12" s="35">
        <f t="shared" ref="N12:N20" si="4">SUM(O12:P12)</f>
        <v>23985.9</v>
      </c>
      <c r="O12" s="36">
        <v>1199.3</v>
      </c>
      <c r="P12" s="36">
        <v>22786.6</v>
      </c>
      <c r="Q12" s="36"/>
      <c r="R12" s="35">
        <f>SUM(S12:U12)</f>
        <v>23985.9</v>
      </c>
      <c r="S12" s="36">
        <v>1199.3</v>
      </c>
      <c r="T12" s="36">
        <v>22786.6</v>
      </c>
      <c r="U12" s="36"/>
      <c r="V12" s="46">
        <f>J12/F12</f>
        <v>0.51400000000000001</v>
      </c>
      <c r="W12" s="110">
        <f t="shared" si="2"/>
        <v>1.7700000000000001E-3</v>
      </c>
    </row>
    <row r="13" spans="1:23" ht="82.5">
      <c r="A13" s="121" t="s">
        <v>22</v>
      </c>
      <c r="B13" s="90" t="s">
        <v>361</v>
      </c>
      <c r="C13" s="74">
        <v>839</v>
      </c>
      <c r="D13" s="73" t="s">
        <v>24</v>
      </c>
      <c r="E13" s="13" t="s">
        <v>26</v>
      </c>
      <c r="F13" s="35">
        <f t="shared" ref="F13:F20" si="5">SUM(G13:H13)+I13</f>
        <v>2346.6999999999998</v>
      </c>
      <c r="G13" s="36">
        <f>174.1-56.7</f>
        <v>117.4</v>
      </c>
      <c r="H13" s="36">
        <f>3307.4-1078.1</f>
        <v>2229.3000000000002</v>
      </c>
      <c r="I13" s="36"/>
      <c r="J13" s="35">
        <f t="shared" si="3"/>
        <v>1644.2</v>
      </c>
      <c r="K13" s="36">
        <f>40.9+7.8+33.5</f>
        <v>82.2</v>
      </c>
      <c r="L13" s="36">
        <f>777.3+148.2+636.5</f>
        <v>1562</v>
      </c>
      <c r="M13" s="36"/>
      <c r="N13" s="35">
        <f t="shared" si="4"/>
        <v>4637.3</v>
      </c>
      <c r="O13" s="36">
        <f>231.9</f>
        <v>231.9</v>
      </c>
      <c r="P13" s="36">
        <f>4405.4</f>
        <v>4405.3999999999996</v>
      </c>
      <c r="Q13" s="36"/>
      <c r="R13" s="35">
        <f t="shared" ref="R13:R20" si="6">SUM(S13:U13)</f>
        <v>4637.3</v>
      </c>
      <c r="S13" s="36">
        <v>231.9</v>
      </c>
      <c r="T13" s="36">
        <v>4405.3999999999996</v>
      </c>
      <c r="U13" s="36"/>
      <c r="V13" s="46">
        <f>J13/F13</f>
        <v>0.70099999999999996</v>
      </c>
      <c r="W13" s="110">
        <f t="shared" si="2"/>
        <v>2.3000000000000001E-4</v>
      </c>
    </row>
    <row r="14" spans="1:23" ht="66">
      <c r="A14" s="122"/>
      <c r="B14" s="91" t="s">
        <v>358</v>
      </c>
      <c r="C14" s="74">
        <v>839</v>
      </c>
      <c r="D14" s="73" t="s">
        <v>24</v>
      </c>
      <c r="E14" s="13" t="s">
        <v>354</v>
      </c>
      <c r="F14" s="35">
        <f t="shared" si="5"/>
        <v>8083</v>
      </c>
      <c r="G14" s="36">
        <f>222.6+181.53</f>
        <v>404.1</v>
      </c>
      <c r="H14" s="36">
        <f>4229.9+3448.98</f>
        <v>7678.9</v>
      </c>
      <c r="I14" s="36"/>
      <c r="J14" s="35"/>
      <c r="K14" s="36"/>
      <c r="L14" s="36"/>
      <c r="M14" s="36"/>
      <c r="N14" s="35"/>
      <c r="O14" s="36"/>
      <c r="P14" s="36"/>
      <c r="Q14" s="36"/>
      <c r="R14" s="35"/>
      <c r="S14" s="36"/>
      <c r="T14" s="36"/>
      <c r="U14" s="36"/>
      <c r="V14" s="46"/>
      <c r="W14" s="110">
        <f t="shared" si="2"/>
        <v>7.7999999999999999E-4</v>
      </c>
    </row>
    <row r="15" spans="1:23" ht="148.5">
      <c r="A15" s="9" t="s">
        <v>22</v>
      </c>
      <c r="B15" s="26" t="s">
        <v>27</v>
      </c>
      <c r="C15" s="13">
        <v>811</v>
      </c>
      <c r="D15" s="14" t="s">
        <v>28</v>
      </c>
      <c r="E15" s="13" t="s">
        <v>29</v>
      </c>
      <c r="F15" s="35">
        <f t="shared" si="5"/>
        <v>0</v>
      </c>
      <c r="G15" s="36"/>
      <c r="H15" s="36"/>
      <c r="I15" s="36"/>
      <c r="J15" s="35">
        <f t="shared" si="3"/>
        <v>0</v>
      </c>
      <c r="K15" s="36"/>
      <c r="L15" s="36"/>
      <c r="M15" s="36"/>
      <c r="N15" s="35">
        <f t="shared" si="4"/>
        <v>27312.6</v>
      </c>
      <c r="O15" s="36"/>
      <c r="P15" s="36">
        <v>27312.6</v>
      </c>
      <c r="Q15" s="36"/>
      <c r="R15" s="35">
        <f t="shared" si="6"/>
        <v>7245</v>
      </c>
      <c r="S15" s="36"/>
      <c r="T15" s="36">
        <v>7245</v>
      </c>
      <c r="U15" s="36"/>
      <c r="V15" s="46"/>
      <c r="W15" s="110">
        <f t="shared" si="2"/>
        <v>0</v>
      </c>
    </row>
    <row r="16" spans="1:23" ht="66">
      <c r="A16" s="9"/>
      <c r="B16" s="26" t="s">
        <v>329</v>
      </c>
      <c r="C16" s="13">
        <v>809</v>
      </c>
      <c r="D16" s="14" t="s">
        <v>37</v>
      </c>
      <c r="E16" s="13" t="s">
        <v>330</v>
      </c>
      <c r="F16" s="35">
        <f t="shared" si="5"/>
        <v>3539.6</v>
      </c>
      <c r="G16" s="36">
        <v>3539.6</v>
      </c>
      <c r="H16" s="36"/>
      <c r="I16" s="36"/>
      <c r="J16" s="35">
        <f t="shared" si="3"/>
        <v>1164.3</v>
      </c>
      <c r="K16" s="36">
        <f>929.59+125.23+76.81+32.71</f>
        <v>1164.3</v>
      </c>
      <c r="L16" s="36"/>
      <c r="M16" s="36"/>
      <c r="N16" s="35">
        <f t="shared" si="4"/>
        <v>0</v>
      </c>
      <c r="O16" s="36"/>
      <c r="P16" s="36"/>
      <c r="Q16" s="36"/>
      <c r="R16" s="35">
        <f t="shared" si="6"/>
        <v>0</v>
      </c>
      <c r="S16" s="36"/>
      <c r="T16" s="36"/>
      <c r="U16" s="36"/>
      <c r="V16" s="46">
        <f>J16/F16</f>
        <v>0.32900000000000001</v>
      </c>
      <c r="W16" s="110">
        <f t="shared" si="2"/>
        <v>3.4000000000000002E-4</v>
      </c>
    </row>
    <row r="17" spans="1:23" ht="82.5">
      <c r="A17" s="9" t="s">
        <v>22</v>
      </c>
      <c r="B17" s="26" t="s">
        <v>30</v>
      </c>
      <c r="C17" s="13">
        <v>811</v>
      </c>
      <c r="D17" s="14" t="s">
        <v>28</v>
      </c>
      <c r="E17" s="13" t="s">
        <v>31</v>
      </c>
      <c r="F17" s="35">
        <f t="shared" si="5"/>
        <v>1634.4</v>
      </c>
      <c r="G17" s="36"/>
      <c r="H17" s="36">
        <v>1634.4</v>
      </c>
      <c r="I17" s="36"/>
      <c r="J17" s="35">
        <f t="shared" si="3"/>
        <v>1625.5</v>
      </c>
      <c r="K17" s="36"/>
      <c r="L17" s="36">
        <v>1625.5</v>
      </c>
      <c r="M17" s="36"/>
      <c r="N17" s="35">
        <f t="shared" si="4"/>
        <v>163.69999999999999</v>
      </c>
      <c r="O17" s="36"/>
      <c r="P17" s="36">
        <v>163.69999999999999</v>
      </c>
      <c r="Q17" s="36"/>
      <c r="R17" s="35">
        <f t="shared" si="6"/>
        <v>163.5</v>
      </c>
      <c r="S17" s="36"/>
      <c r="T17" s="36">
        <v>163.5</v>
      </c>
      <c r="U17" s="36"/>
      <c r="V17" s="46">
        <f>J17/F17</f>
        <v>0.995</v>
      </c>
      <c r="W17" s="110">
        <f t="shared" si="2"/>
        <v>1.6000000000000001E-4</v>
      </c>
    </row>
    <row r="18" spans="1:23" ht="82.5">
      <c r="A18" s="9" t="s">
        <v>32</v>
      </c>
      <c r="B18" s="26" t="s">
        <v>33</v>
      </c>
      <c r="C18" s="13">
        <v>821</v>
      </c>
      <c r="D18" s="14" t="s">
        <v>34</v>
      </c>
      <c r="E18" s="13" t="s">
        <v>35</v>
      </c>
      <c r="F18" s="35">
        <f t="shared" si="5"/>
        <v>292352.09999999998</v>
      </c>
      <c r="G18" s="36">
        <f>8753.1+581.5</f>
        <v>9334.6</v>
      </c>
      <c r="H18" s="36">
        <v>283017.5</v>
      </c>
      <c r="I18" s="36"/>
      <c r="J18" s="35">
        <f t="shared" si="3"/>
        <v>134882.1</v>
      </c>
      <c r="K18" s="36">
        <f>3721.4+0.9+501.64</f>
        <v>4223.8999999999996</v>
      </c>
      <c r="L18" s="36">
        <f>114409.4+29.21+16219.6</f>
        <v>130658.2</v>
      </c>
      <c r="M18" s="36"/>
      <c r="N18" s="35">
        <f t="shared" si="4"/>
        <v>203954.2</v>
      </c>
      <c r="O18" s="36">
        <f>203954.2-197445.6</f>
        <v>6508.6</v>
      </c>
      <c r="P18" s="36">
        <v>197445.6</v>
      </c>
      <c r="Q18" s="36"/>
      <c r="R18" s="35">
        <f t="shared" si="6"/>
        <v>53033.7</v>
      </c>
      <c r="S18" s="36">
        <f>4047.7+32717+16269-51434.6</f>
        <v>1599.1</v>
      </c>
      <c r="T18" s="36">
        <v>51434.6</v>
      </c>
      <c r="U18" s="36"/>
      <c r="V18" s="46">
        <f>J18/F18</f>
        <v>0.46100000000000002</v>
      </c>
      <c r="W18" s="110">
        <f t="shared" si="2"/>
        <v>2.836E-2</v>
      </c>
    </row>
    <row r="19" spans="1:23" ht="66">
      <c r="A19" s="9" t="s">
        <v>22</v>
      </c>
      <c r="B19" s="26" t="s">
        <v>36</v>
      </c>
      <c r="C19" s="13">
        <v>809</v>
      </c>
      <c r="D19" s="14" t="s">
        <v>37</v>
      </c>
      <c r="E19" s="13" t="s">
        <v>38</v>
      </c>
      <c r="F19" s="35">
        <f t="shared" si="5"/>
        <v>22780.3</v>
      </c>
      <c r="G19" s="36">
        <f>675.9+138.4+111.12</f>
        <v>925.4</v>
      </c>
      <c r="H19" s="36">
        <v>21854.9</v>
      </c>
      <c r="I19" s="36"/>
      <c r="J19" s="35">
        <f t="shared" si="3"/>
        <v>21410.3</v>
      </c>
      <c r="K19" s="36">
        <f>814.3</f>
        <v>814.3</v>
      </c>
      <c r="L19" s="36">
        <v>20596.02</v>
      </c>
      <c r="M19" s="36"/>
      <c r="N19" s="35">
        <f t="shared" si="4"/>
        <v>0</v>
      </c>
      <c r="O19" s="36"/>
      <c r="P19" s="36"/>
      <c r="Q19" s="36"/>
      <c r="R19" s="35">
        <f t="shared" si="6"/>
        <v>0</v>
      </c>
      <c r="S19" s="36"/>
      <c r="T19" s="36"/>
      <c r="U19" s="36"/>
      <c r="V19" s="46">
        <f>J19/F19</f>
        <v>0.94</v>
      </c>
      <c r="W19" s="110">
        <f t="shared" si="2"/>
        <v>2.2100000000000002E-3</v>
      </c>
    </row>
    <row r="20" spans="1:23" ht="66">
      <c r="A20" s="9"/>
      <c r="B20" s="26" t="s">
        <v>39</v>
      </c>
      <c r="C20" s="13">
        <v>821</v>
      </c>
      <c r="D20" s="14" t="s">
        <v>34</v>
      </c>
      <c r="E20" s="13" t="s">
        <v>40</v>
      </c>
      <c r="F20" s="35">
        <f t="shared" si="5"/>
        <v>0</v>
      </c>
      <c r="G20" s="36">
        <f>581.5-581.5</f>
        <v>0</v>
      </c>
      <c r="H20" s="36"/>
      <c r="I20" s="36"/>
      <c r="J20" s="35">
        <f t="shared" si="3"/>
        <v>0</v>
      </c>
      <c r="K20" s="36"/>
      <c r="L20" s="36"/>
      <c r="M20" s="36"/>
      <c r="N20" s="35">
        <f t="shared" si="4"/>
        <v>0</v>
      </c>
      <c r="O20" s="36">
        <f>402-402</f>
        <v>0</v>
      </c>
      <c r="P20" s="36"/>
      <c r="Q20" s="36"/>
      <c r="R20" s="35">
        <f t="shared" si="6"/>
        <v>0</v>
      </c>
      <c r="S20" s="36">
        <f>8.3-8.3</f>
        <v>0</v>
      </c>
      <c r="T20" s="36"/>
      <c r="U20" s="36"/>
      <c r="V20" s="46"/>
      <c r="W20" s="110">
        <f t="shared" si="2"/>
        <v>0</v>
      </c>
    </row>
    <row r="21" spans="1:23" ht="33">
      <c r="A21" s="9" t="s">
        <v>41</v>
      </c>
      <c r="B21" s="24" t="s">
        <v>42</v>
      </c>
      <c r="C21" s="12" t="s">
        <v>18</v>
      </c>
      <c r="D21" s="12" t="s">
        <v>18</v>
      </c>
      <c r="E21" s="12" t="s">
        <v>18</v>
      </c>
      <c r="F21" s="35">
        <f>SUM(G21:H21)+I21</f>
        <v>268888</v>
      </c>
      <c r="G21" s="35">
        <f>SUM(G23:G30)</f>
        <v>205926.2</v>
      </c>
      <c r="H21" s="35">
        <f t="shared" ref="H21:I21" si="7">SUM(H23:H30)</f>
        <v>19758.099999999999</v>
      </c>
      <c r="I21" s="35">
        <f t="shared" si="7"/>
        <v>43203.7</v>
      </c>
      <c r="J21" s="35">
        <f>SUM(K21:L21)+M21</f>
        <v>246463.2</v>
      </c>
      <c r="K21" s="35">
        <f>SUM(K23:K30)</f>
        <v>196820.4</v>
      </c>
      <c r="L21" s="35">
        <f t="shared" ref="L21" si="8">SUM(L23:L30)</f>
        <v>18152.8</v>
      </c>
      <c r="M21" s="35">
        <f>SUM(M23:M30)</f>
        <v>31490</v>
      </c>
      <c r="N21" s="35">
        <f>SUM(O21:P21)+Q21</f>
        <v>155335.6</v>
      </c>
      <c r="O21" s="35">
        <f>SUM(O23:O30)</f>
        <v>111731.6</v>
      </c>
      <c r="P21" s="35">
        <f t="shared" ref="P21:Q21" si="9">SUM(P23:P30)</f>
        <v>35381.9</v>
      </c>
      <c r="Q21" s="35">
        <f t="shared" si="9"/>
        <v>8222.1</v>
      </c>
      <c r="R21" s="35">
        <f>SUM(S21:U21)</f>
        <v>315551.8</v>
      </c>
      <c r="S21" s="35">
        <f>SUM(S23:S30)</f>
        <v>82654.8</v>
      </c>
      <c r="T21" s="35">
        <f t="shared" ref="T21:U21" si="10">SUM(T23:T30)</f>
        <v>226897.1</v>
      </c>
      <c r="U21" s="35">
        <f t="shared" si="10"/>
        <v>5999.9</v>
      </c>
      <c r="V21" s="45">
        <f>J21/F21</f>
        <v>0.91700000000000004</v>
      </c>
      <c r="W21" s="110">
        <f t="shared" si="2"/>
        <v>2.6089999999999999E-2</v>
      </c>
    </row>
    <row r="22" spans="1:23" ht="17.25">
      <c r="A22" s="11"/>
      <c r="B22" s="25" t="s">
        <v>21</v>
      </c>
      <c r="C22" s="13"/>
      <c r="D22" s="13"/>
      <c r="E22" s="13"/>
      <c r="F22" s="35"/>
      <c r="G22" s="36"/>
      <c r="H22" s="36"/>
      <c r="I22" s="36"/>
      <c r="J22" s="35"/>
      <c r="K22" s="36"/>
      <c r="L22" s="36"/>
      <c r="M22" s="36"/>
      <c r="N22" s="35"/>
      <c r="O22" s="36"/>
      <c r="P22" s="36"/>
      <c r="Q22" s="36"/>
      <c r="R22" s="35"/>
      <c r="S22" s="36"/>
      <c r="T22" s="36"/>
      <c r="U22" s="36"/>
      <c r="V22" s="46"/>
      <c r="W22" s="110">
        <f t="shared" si="2"/>
        <v>0</v>
      </c>
    </row>
    <row r="23" spans="1:23" ht="99">
      <c r="A23" s="11" t="s">
        <v>32</v>
      </c>
      <c r="B23" s="26" t="s">
        <v>43</v>
      </c>
      <c r="C23" s="13">
        <v>813</v>
      </c>
      <c r="D23" s="14" t="s">
        <v>44</v>
      </c>
      <c r="E23" s="13" t="s">
        <v>45</v>
      </c>
      <c r="F23" s="35">
        <f>G23+H23+I23</f>
        <v>20999.4</v>
      </c>
      <c r="G23" s="36">
        <v>611.1</v>
      </c>
      <c r="H23" s="36">
        <v>19758.099999999999</v>
      </c>
      <c r="I23" s="36">
        <v>630.20000000000005</v>
      </c>
      <c r="J23" s="35">
        <f>SUM(K23:L23)+M23</f>
        <v>18714.2</v>
      </c>
      <c r="K23" s="36"/>
      <c r="L23" s="36">
        <f>5819.7+12333.1</f>
        <v>18152.8</v>
      </c>
      <c r="M23" s="36">
        <v>561.4</v>
      </c>
      <c r="N23" s="35">
        <f t="shared" ref="N23:N31" si="11">SUM(O23:P23)</f>
        <v>10703</v>
      </c>
      <c r="O23" s="36">
        <v>321.10000000000002</v>
      </c>
      <c r="P23" s="36">
        <v>10381.9</v>
      </c>
      <c r="Q23" s="36"/>
      <c r="R23" s="35">
        <f>SUM(S23:U23)</f>
        <v>6889.4</v>
      </c>
      <c r="S23" s="36">
        <v>206.7</v>
      </c>
      <c r="T23" s="36">
        <v>6682.7</v>
      </c>
      <c r="U23" s="36"/>
      <c r="V23" s="46">
        <f>J23/F23</f>
        <v>0.89100000000000001</v>
      </c>
      <c r="W23" s="110">
        <f t="shared" si="2"/>
        <v>2.0400000000000001E-3</v>
      </c>
    </row>
    <row r="24" spans="1:23" ht="66">
      <c r="A24" s="11"/>
      <c r="B24" s="26" t="s">
        <v>324</v>
      </c>
      <c r="C24" s="13">
        <v>821</v>
      </c>
      <c r="D24" s="14" t="s">
        <v>34</v>
      </c>
      <c r="E24" s="13" t="s">
        <v>323</v>
      </c>
      <c r="F24" s="35">
        <f t="shared" ref="F24:F30" si="12">G24+H24+I24</f>
        <v>33614.400000000001</v>
      </c>
      <c r="G24" s="36">
        <v>25122.7</v>
      </c>
      <c r="H24" s="36"/>
      <c r="I24" s="36">
        <v>8491.7000000000007</v>
      </c>
      <c r="J24" s="35">
        <f>SUM(K24:L24)+M24</f>
        <v>25038.9</v>
      </c>
      <c r="K24" s="36">
        <f>8845.7+14501.86</f>
        <v>23347.599999999999</v>
      </c>
      <c r="L24" s="36"/>
      <c r="M24" s="36">
        <v>1691.3</v>
      </c>
      <c r="N24" s="35">
        <f t="shared" si="11"/>
        <v>0</v>
      </c>
      <c r="O24" s="36"/>
      <c r="P24" s="36"/>
      <c r="Q24" s="36"/>
      <c r="R24" s="35">
        <f t="shared" ref="R24:R30" si="13">SUM(S24:U24)</f>
        <v>0</v>
      </c>
      <c r="S24" s="36"/>
      <c r="T24" s="36"/>
      <c r="U24" s="36"/>
      <c r="V24" s="46">
        <f>J24/F24</f>
        <v>0.745</v>
      </c>
      <c r="W24" s="110">
        <f t="shared" si="2"/>
        <v>3.2599999999999999E-3</v>
      </c>
    </row>
    <row r="25" spans="1:23" ht="66">
      <c r="A25" s="11"/>
      <c r="B25" s="26" t="s">
        <v>322</v>
      </c>
      <c r="C25" s="13">
        <v>821</v>
      </c>
      <c r="D25" s="14" t="s">
        <v>34</v>
      </c>
      <c r="E25" s="13" t="s">
        <v>321</v>
      </c>
      <c r="F25" s="35">
        <f t="shared" si="12"/>
        <v>98459.4</v>
      </c>
      <c r="G25" s="36">
        <v>79000</v>
      </c>
      <c r="H25" s="36"/>
      <c r="I25" s="36">
        <v>19459.400000000001</v>
      </c>
      <c r="J25" s="35">
        <f>SUM(K25:L25)+M25</f>
        <v>93374.7</v>
      </c>
      <c r="K25" s="36">
        <f>57138.7+20000</f>
        <v>77138.7</v>
      </c>
      <c r="L25" s="36"/>
      <c r="M25" s="36">
        <v>16236</v>
      </c>
      <c r="N25" s="35">
        <f>SUM(O25:P25)+Q25</f>
        <v>37222.199999999997</v>
      </c>
      <c r="O25" s="36">
        <v>35000</v>
      </c>
      <c r="P25" s="36"/>
      <c r="Q25" s="36">
        <v>2222.1999999999998</v>
      </c>
      <c r="R25" s="35">
        <f t="shared" si="13"/>
        <v>0</v>
      </c>
      <c r="S25" s="36"/>
      <c r="T25" s="36"/>
      <c r="U25" s="36"/>
      <c r="V25" s="46">
        <f>J25/F25</f>
        <v>0.94799999999999995</v>
      </c>
      <c r="W25" s="110">
        <f t="shared" si="2"/>
        <v>9.5499999999999995E-3</v>
      </c>
    </row>
    <row r="26" spans="1:23" ht="99">
      <c r="A26" s="11"/>
      <c r="B26" s="26" t="s">
        <v>46</v>
      </c>
      <c r="C26" s="13">
        <v>813</v>
      </c>
      <c r="D26" s="14" t="s">
        <v>44</v>
      </c>
      <c r="E26" s="13" t="s">
        <v>47</v>
      </c>
      <c r="F26" s="35">
        <f t="shared" si="12"/>
        <v>0</v>
      </c>
      <c r="G26" s="36"/>
      <c r="H26" s="36"/>
      <c r="I26" s="36"/>
      <c r="J26" s="35">
        <f t="shared" ref="J26:J31" si="14">SUM(K26:L26)</f>
        <v>0</v>
      </c>
      <c r="K26" s="36"/>
      <c r="L26" s="36"/>
      <c r="M26" s="36"/>
      <c r="N26" s="35">
        <f t="shared" si="11"/>
        <v>25773.200000000001</v>
      </c>
      <c r="O26" s="36">
        <v>773.2</v>
      </c>
      <c r="P26" s="36">
        <v>25000</v>
      </c>
      <c r="Q26" s="36"/>
      <c r="R26" s="35">
        <f t="shared" si="13"/>
        <v>44329.9</v>
      </c>
      <c r="S26" s="36">
        <v>1329.9</v>
      </c>
      <c r="T26" s="36">
        <v>43000</v>
      </c>
      <c r="U26" s="36"/>
      <c r="V26" s="46"/>
      <c r="W26" s="110">
        <f t="shared" si="2"/>
        <v>0</v>
      </c>
    </row>
    <row r="27" spans="1:23" ht="66">
      <c r="A27" s="11"/>
      <c r="B27" s="26" t="s">
        <v>48</v>
      </c>
      <c r="C27" s="13">
        <v>821</v>
      </c>
      <c r="D27" s="14" t="s">
        <v>34</v>
      </c>
      <c r="E27" s="13" t="s">
        <v>49</v>
      </c>
      <c r="F27" s="35">
        <f t="shared" si="12"/>
        <v>0</v>
      </c>
      <c r="G27" s="36"/>
      <c r="H27" s="36"/>
      <c r="I27" s="36"/>
      <c r="J27" s="35">
        <f t="shared" si="14"/>
        <v>0</v>
      </c>
      <c r="K27" s="36"/>
      <c r="L27" s="36"/>
      <c r="M27" s="36"/>
      <c r="N27" s="35">
        <f t="shared" si="11"/>
        <v>0</v>
      </c>
      <c r="O27" s="36"/>
      <c r="P27" s="36"/>
      <c r="Q27" s="36"/>
      <c r="R27" s="35">
        <f t="shared" si="13"/>
        <v>182695.3</v>
      </c>
      <c r="S27" s="36">
        <v>5480.9</v>
      </c>
      <c r="T27" s="36">
        <v>177214.4</v>
      </c>
      <c r="U27" s="36"/>
      <c r="V27" s="46"/>
      <c r="W27" s="110">
        <f t="shared" si="2"/>
        <v>0</v>
      </c>
    </row>
    <row r="28" spans="1:23" ht="165">
      <c r="A28" s="11"/>
      <c r="B28" s="26" t="s">
        <v>50</v>
      </c>
      <c r="C28" s="13">
        <v>813</v>
      </c>
      <c r="D28" s="14" t="s">
        <v>44</v>
      </c>
      <c r="E28" s="13" t="s">
        <v>51</v>
      </c>
      <c r="F28" s="35">
        <f t="shared" si="12"/>
        <v>10044.700000000001</v>
      </c>
      <c r="G28" s="36">
        <v>9000</v>
      </c>
      <c r="H28" s="36"/>
      <c r="I28" s="36">
        <v>1044.7</v>
      </c>
      <c r="J28" s="35">
        <f>SUM(K28:L28)+M28</f>
        <v>10030</v>
      </c>
      <c r="K28" s="36">
        <v>9000</v>
      </c>
      <c r="L28" s="36"/>
      <c r="M28" s="36">
        <v>1030</v>
      </c>
      <c r="N28" s="35">
        <f>SUM(O28:P28)+Q28</f>
        <v>9090</v>
      </c>
      <c r="O28" s="36">
        <v>9000</v>
      </c>
      <c r="P28" s="36"/>
      <c r="Q28" s="36">
        <v>90</v>
      </c>
      <c r="R28" s="35">
        <f t="shared" si="13"/>
        <v>9090</v>
      </c>
      <c r="S28" s="36">
        <v>9000</v>
      </c>
      <c r="T28" s="36"/>
      <c r="U28" s="36">
        <v>90</v>
      </c>
      <c r="V28" s="46">
        <f>J28/F28</f>
        <v>0.999</v>
      </c>
      <c r="W28" s="110">
        <f t="shared" si="2"/>
        <v>9.7000000000000005E-4</v>
      </c>
    </row>
    <row r="29" spans="1:23" ht="99">
      <c r="A29" s="11"/>
      <c r="B29" s="26" t="s">
        <v>52</v>
      </c>
      <c r="C29" s="13">
        <v>813</v>
      </c>
      <c r="D29" s="14" t="s">
        <v>44</v>
      </c>
      <c r="E29" s="13" t="s">
        <v>53</v>
      </c>
      <c r="F29" s="35">
        <f t="shared" si="12"/>
        <v>31479.3</v>
      </c>
      <c r="G29" s="36">
        <v>30000</v>
      </c>
      <c r="H29" s="36"/>
      <c r="I29" s="36">
        <v>1479.3</v>
      </c>
      <c r="J29" s="35">
        <f>SUM(K29:L29)+M29</f>
        <v>31298.799999999999</v>
      </c>
      <c r="K29" s="36">
        <f>28094.6+1905.4</f>
        <v>30000</v>
      </c>
      <c r="L29" s="36"/>
      <c r="M29" s="36">
        <v>1298.8</v>
      </c>
      <c r="N29" s="35">
        <f t="shared" si="11"/>
        <v>10000</v>
      </c>
      <c r="O29" s="36">
        <v>10000</v>
      </c>
      <c r="P29" s="36"/>
      <c r="Q29" s="36"/>
      <c r="R29" s="35">
        <f t="shared" si="13"/>
        <v>10000</v>
      </c>
      <c r="S29" s="36">
        <v>10000</v>
      </c>
      <c r="T29" s="36"/>
      <c r="U29" s="36"/>
      <c r="V29" s="46">
        <f>J29/F29</f>
        <v>0.99399999999999999</v>
      </c>
      <c r="W29" s="110">
        <f t="shared" si="2"/>
        <v>3.0500000000000002E-3</v>
      </c>
    </row>
    <row r="30" spans="1:23" ht="99">
      <c r="A30" s="11"/>
      <c r="B30" s="26" t="s">
        <v>54</v>
      </c>
      <c r="C30" s="13">
        <v>813</v>
      </c>
      <c r="D30" s="14" t="s">
        <v>44</v>
      </c>
      <c r="E30" s="13" t="s">
        <v>55</v>
      </c>
      <c r="F30" s="35">
        <f t="shared" si="12"/>
        <v>74290.8</v>
      </c>
      <c r="G30" s="36">
        <v>62192.4</v>
      </c>
      <c r="H30" s="36"/>
      <c r="I30" s="36">
        <v>12098.4</v>
      </c>
      <c r="J30" s="35">
        <f>SUM(K30:L30)+M30</f>
        <v>68006.600000000006</v>
      </c>
      <c r="K30" s="36">
        <f>53030.8+4303.3</f>
        <v>57334.1</v>
      </c>
      <c r="L30" s="36"/>
      <c r="M30" s="36">
        <v>10672.5</v>
      </c>
      <c r="N30" s="35">
        <f>SUM(O30:P30)+Q30</f>
        <v>62547.199999999997</v>
      </c>
      <c r="O30" s="36">
        <v>56637.3</v>
      </c>
      <c r="P30" s="36"/>
      <c r="Q30" s="36">
        <v>5909.9</v>
      </c>
      <c r="R30" s="35">
        <f t="shared" si="13"/>
        <v>62547.199999999997</v>
      </c>
      <c r="S30" s="36">
        <v>56637.3</v>
      </c>
      <c r="T30" s="36"/>
      <c r="U30" s="36">
        <v>5909.9</v>
      </c>
      <c r="V30" s="46">
        <f>J30/F30</f>
        <v>0.91500000000000004</v>
      </c>
      <c r="W30" s="110">
        <f t="shared" si="2"/>
        <v>7.2100000000000003E-3</v>
      </c>
    </row>
    <row r="31" spans="1:23" ht="66">
      <c r="A31" s="9" t="s">
        <v>56</v>
      </c>
      <c r="B31" s="24" t="s">
        <v>57</v>
      </c>
      <c r="C31" s="12" t="s">
        <v>18</v>
      </c>
      <c r="D31" s="12" t="s">
        <v>18</v>
      </c>
      <c r="E31" s="12" t="s">
        <v>18</v>
      </c>
      <c r="F31" s="35">
        <f>G31+H31+I31</f>
        <v>1220534.1000000001</v>
      </c>
      <c r="G31" s="35">
        <f>SUM(G33:G35)</f>
        <v>572787.30000000005</v>
      </c>
      <c r="H31" s="35">
        <f>SUM(H33:H35)</f>
        <v>646684.69999999995</v>
      </c>
      <c r="I31" s="35">
        <f>SUM(I33:I35)</f>
        <v>1062.0999999999999</v>
      </c>
      <c r="J31" s="35">
        <f t="shared" si="14"/>
        <v>0</v>
      </c>
      <c r="K31" s="35">
        <f>SUM(K33:K35)</f>
        <v>0</v>
      </c>
      <c r="L31" s="35">
        <f>SUM(L33:L35)</f>
        <v>0</v>
      </c>
      <c r="M31" s="35">
        <f>SUM(M33:M35)</f>
        <v>0</v>
      </c>
      <c r="N31" s="35">
        <f t="shared" si="11"/>
        <v>613603.1</v>
      </c>
      <c r="O31" s="35">
        <f>SUM(O33:O35)</f>
        <v>339568.5</v>
      </c>
      <c r="P31" s="35">
        <f>SUM(P33:P35)</f>
        <v>274034.59999999998</v>
      </c>
      <c r="Q31" s="35">
        <f>SUM(Q33:Q35)</f>
        <v>0</v>
      </c>
      <c r="R31" s="35">
        <f>SUM(S31:T31)</f>
        <v>1229501.3</v>
      </c>
      <c r="S31" s="35">
        <f>SUM(S33:S35)</f>
        <v>356541</v>
      </c>
      <c r="T31" s="35">
        <f>SUM(T33:T35)</f>
        <v>872960.3</v>
      </c>
      <c r="U31" s="35">
        <f>SUM(U33:U34)</f>
        <v>0</v>
      </c>
      <c r="V31" s="45">
        <f>J31/F31</f>
        <v>0</v>
      </c>
      <c r="W31" s="110">
        <f t="shared" si="2"/>
        <v>0.11841</v>
      </c>
    </row>
    <row r="32" spans="1:23" ht="17.25">
      <c r="A32" s="9"/>
      <c r="B32" s="25" t="s">
        <v>21</v>
      </c>
      <c r="C32" s="13"/>
      <c r="D32" s="13"/>
      <c r="E32" s="13"/>
      <c r="F32" s="35"/>
      <c r="G32" s="36"/>
      <c r="H32" s="36"/>
      <c r="I32" s="36"/>
      <c r="J32" s="35"/>
      <c r="K32" s="36"/>
      <c r="L32" s="36"/>
      <c r="M32" s="36"/>
      <c r="N32" s="35"/>
      <c r="O32" s="36"/>
      <c r="P32" s="36"/>
      <c r="Q32" s="36"/>
      <c r="R32" s="35"/>
      <c r="S32" s="36"/>
      <c r="T32" s="36"/>
      <c r="U32" s="36"/>
      <c r="V32" s="46"/>
      <c r="W32" s="110">
        <f t="shared" si="2"/>
        <v>0</v>
      </c>
    </row>
    <row r="33" spans="1:23" ht="99">
      <c r="A33" s="9" t="s">
        <v>22</v>
      </c>
      <c r="B33" s="26" t="s">
        <v>58</v>
      </c>
      <c r="C33" s="13">
        <v>821</v>
      </c>
      <c r="D33" s="14" t="s">
        <v>34</v>
      </c>
      <c r="E33" s="13" t="s">
        <v>59</v>
      </c>
      <c r="F33" s="35">
        <f>G33+H33+I33</f>
        <v>405131.3</v>
      </c>
      <c r="G33" s="36">
        <f>247570.3-8390.1</f>
        <v>239180.2</v>
      </c>
      <c r="H33" s="36">
        <v>165537.60000000001</v>
      </c>
      <c r="I33" s="36">
        <v>413.5</v>
      </c>
      <c r="J33" s="35">
        <f>SUM(K33:L33)</f>
        <v>0</v>
      </c>
      <c r="K33" s="36"/>
      <c r="L33" s="36"/>
      <c r="M33" s="36"/>
      <c r="N33" s="35">
        <f>SUM(O33:P33)</f>
        <v>0</v>
      </c>
      <c r="O33" s="36"/>
      <c r="P33" s="36"/>
      <c r="Q33" s="36"/>
      <c r="R33" s="35">
        <f>SUM(S33:U33)</f>
        <v>0</v>
      </c>
      <c r="S33" s="36"/>
      <c r="T33" s="36"/>
      <c r="U33" s="36"/>
      <c r="V33" s="46">
        <f>J33/F33</f>
        <v>0</v>
      </c>
      <c r="W33" s="110">
        <f t="shared" si="2"/>
        <v>3.9309999999999998E-2</v>
      </c>
    </row>
    <row r="34" spans="1:23" ht="99">
      <c r="A34" s="9" t="s">
        <v>32</v>
      </c>
      <c r="B34" s="26" t="s">
        <v>60</v>
      </c>
      <c r="C34" s="13">
        <v>821</v>
      </c>
      <c r="D34" s="14" t="s">
        <v>34</v>
      </c>
      <c r="E34" s="13" t="s">
        <v>61</v>
      </c>
      <c r="F34" s="35">
        <f t="shared" ref="F34:F35" si="15">G34+H34+I34</f>
        <v>807012.7</v>
      </c>
      <c r="G34" s="36">
        <v>325217</v>
      </c>
      <c r="H34" s="36">
        <v>481147.1</v>
      </c>
      <c r="I34" s="36">
        <v>648.6</v>
      </c>
      <c r="J34" s="35">
        <f>SUM(K34:L34)</f>
        <v>0</v>
      </c>
      <c r="K34" s="36"/>
      <c r="L34" s="36"/>
      <c r="M34" s="36"/>
      <c r="N34" s="35">
        <f>SUM(O34:P34)</f>
        <v>613603.1</v>
      </c>
      <c r="O34" s="36">
        <f>98303.6+241264.9</f>
        <v>339568.5</v>
      </c>
      <c r="P34" s="36">
        <v>274034.59999999998</v>
      </c>
      <c r="Q34" s="36"/>
      <c r="R34" s="35">
        <f>SUM(S34:U34)</f>
        <v>1229501.3</v>
      </c>
      <c r="S34" s="36">
        <v>356541</v>
      </c>
      <c r="T34" s="36">
        <v>872960.3</v>
      </c>
      <c r="U34" s="36"/>
      <c r="V34" s="46">
        <f>J34/F34</f>
        <v>0</v>
      </c>
      <c r="W34" s="110">
        <f t="shared" si="2"/>
        <v>7.8299999999999995E-2</v>
      </c>
    </row>
    <row r="35" spans="1:23" ht="73.900000000000006" customHeight="1">
      <c r="A35" s="9"/>
      <c r="B35" s="26" t="s">
        <v>353</v>
      </c>
      <c r="C35" s="13">
        <v>815</v>
      </c>
      <c r="D35" s="14" t="s">
        <v>119</v>
      </c>
      <c r="E35" s="13" t="s">
        <v>352</v>
      </c>
      <c r="F35" s="35">
        <f t="shared" si="15"/>
        <v>8390.1</v>
      </c>
      <c r="G35" s="36">
        <v>8390.1</v>
      </c>
      <c r="H35" s="36"/>
      <c r="I35" s="36"/>
      <c r="J35" s="35">
        <f>SUM(K35:L35)</f>
        <v>0</v>
      </c>
      <c r="K35" s="36"/>
      <c r="L35" s="36"/>
      <c r="M35" s="36"/>
      <c r="N35" s="35"/>
      <c r="O35" s="36"/>
      <c r="P35" s="36"/>
      <c r="Q35" s="36"/>
      <c r="R35" s="35"/>
      <c r="S35" s="36"/>
      <c r="T35" s="36"/>
      <c r="U35" s="36"/>
      <c r="V35" s="46"/>
      <c r="W35" s="110">
        <f t="shared" si="2"/>
        <v>8.0999999999999996E-4</v>
      </c>
    </row>
    <row r="36" spans="1:23" ht="49.5">
      <c r="A36" s="9" t="s">
        <v>62</v>
      </c>
      <c r="B36" s="24" t="s">
        <v>63</v>
      </c>
      <c r="C36" s="12" t="s">
        <v>18</v>
      </c>
      <c r="D36" s="12" t="s">
        <v>18</v>
      </c>
      <c r="E36" s="12" t="s">
        <v>18</v>
      </c>
      <c r="F36" s="35">
        <f>SUM(G36:H36)</f>
        <v>1145620.7</v>
      </c>
      <c r="G36" s="35">
        <f>SUM(G38:G39)</f>
        <v>776166.8</v>
      </c>
      <c r="H36" s="35">
        <f>SUM(H38:H39)</f>
        <v>369453.9</v>
      </c>
      <c r="I36" s="35">
        <f>SUM(I38:I39)</f>
        <v>0</v>
      </c>
      <c r="J36" s="35">
        <f>SUM(K36:L36)</f>
        <v>1049319.8999999999</v>
      </c>
      <c r="K36" s="35">
        <f>SUM(K38:K39)</f>
        <v>684137.7</v>
      </c>
      <c r="L36" s="35">
        <f>SUM(L38:L39)</f>
        <v>365182.2</v>
      </c>
      <c r="M36" s="35">
        <f>SUM(M38:M39)</f>
        <v>0</v>
      </c>
      <c r="N36" s="35">
        <f>SUM(O36:P36)</f>
        <v>1064287.3</v>
      </c>
      <c r="O36" s="35">
        <f>SUM(O38:O39)</f>
        <v>776166.8</v>
      </c>
      <c r="P36" s="35">
        <f>SUM(P38:P39)</f>
        <v>288120.5</v>
      </c>
      <c r="Q36" s="35">
        <f>SUM(Q38:Q39)</f>
        <v>0</v>
      </c>
      <c r="R36" s="35">
        <f>SUM(S36:U36)</f>
        <v>1066542.6000000001</v>
      </c>
      <c r="S36" s="35">
        <f>SUM(S38:S39)</f>
        <v>776166.8</v>
      </c>
      <c r="T36" s="35">
        <f>SUM(T38:T39)</f>
        <v>290375.8</v>
      </c>
      <c r="U36" s="35">
        <f>SUM(U38:U39)</f>
        <v>0</v>
      </c>
      <c r="V36" s="45">
        <f>J36/F36</f>
        <v>0.91600000000000004</v>
      </c>
      <c r="W36" s="110">
        <f t="shared" si="2"/>
        <v>0.11115</v>
      </c>
    </row>
    <row r="37" spans="1:23" ht="17.25">
      <c r="A37" s="9"/>
      <c r="B37" s="25" t="s">
        <v>21</v>
      </c>
      <c r="C37" s="13"/>
      <c r="D37" s="14"/>
      <c r="E37" s="13"/>
      <c r="F37" s="35"/>
      <c r="G37" s="36"/>
      <c r="H37" s="36"/>
      <c r="I37" s="36"/>
      <c r="J37" s="35"/>
      <c r="K37" s="36"/>
      <c r="L37" s="36"/>
      <c r="M37" s="36"/>
      <c r="N37" s="35"/>
      <c r="O37" s="36"/>
      <c r="P37" s="36"/>
      <c r="Q37" s="36"/>
      <c r="R37" s="35"/>
      <c r="S37" s="36"/>
      <c r="T37" s="36"/>
      <c r="U37" s="36"/>
      <c r="V37" s="46"/>
      <c r="W37" s="110">
        <f t="shared" si="2"/>
        <v>0</v>
      </c>
    </row>
    <row r="38" spans="1:23" ht="66">
      <c r="A38" s="9" t="s">
        <v>64</v>
      </c>
      <c r="B38" s="26" t="s">
        <v>65</v>
      </c>
      <c r="C38" s="13">
        <v>809</v>
      </c>
      <c r="D38" s="14" t="s">
        <v>37</v>
      </c>
      <c r="E38" s="13" t="s">
        <v>66</v>
      </c>
      <c r="F38" s="35">
        <f>G38+H38+I38</f>
        <v>369453.9</v>
      </c>
      <c r="G38" s="36"/>
      <c r="H38" s="36">
        <v>369453.9</v>
      </c>
      <c r="I38" s="36"/>
      <c r="J38" s="35">
        <f>SUM(K38:L38)</f>
        <v>365182.2</v>
      </c>
      <c r="K38" s="36"/>
      <c r="L38" s="36">
        <f>348933.4+15777.12+425.73+45.91</f>
        <v>365182.2</v>
      </c>
      <c r="M38" s="36"/>
      <c r="N38" s="35">
        <f>SUM(O38:P38)</f>
        <v>288120.5</v>
      </c>
      <c r="O38" s="36"/>
      <c r="P38" s="36">
        <v>288120.5</v>
      </c>
      <c r="Q38" s="36"/>
      <c r="R38" s="35">
        <f>SUM(S38:U38)</f>
        <v>290375.8</v>
      </c>
      <c r="S38" s="36"/>
      <c r="T38" s="36">
        <v>290375.8</v>
      </c>
      <c r="U38" s="36"/>
      <c r="V38" s="46">
        <f>J38/F38</f>
        <v>0.98799999999999999</v>
      </c>
      <c r="W38" s="110">
        <f t="shared" si="2"/>
        <v>3.5839999999999997E-2</v>
      </c>
    </row>
    <row r="39" spans="1:23" ht="82.5">
      <c r="A39" s="9"/>
      <c r="B39" s="26" t="s">
        <v>67</v>
      </c>
      <c r="C39" s="13">
        <v>809</v>
      </c>
      <c r="D39" s="14" t="s">
        <v>37</v>
      </c>
      <c r="E39" s="13" t="s">
        <v>68</v>
      </c>
      <c r="F39" s="35">
        <f>G39+H39+I39</f>
        <v>776166.8</v>
      </c>
      <c r="G39" s="36">
        <v>776166.8</v>
      </c>
      <c r="H39" s="36"/>
      <c r="I39" s="36"/>
      <c r="J39" s="35">
        <f>SUM(K39:L39)</f>
        <v>684137.7</v>
      </c>
      <c r="K39" s="36">
        <f>659996.39+16932.73+5174.75+2033.8</f>
        <v>684137.7</v>
      </c>
      <c r="L39" s="36"/>
      <c r="M39" s="36"/>
      <c r="N39" s="35">
        <f>SUM(O39:P39)</f>
        <v>776166.8</v>
      </c>
      <c r="O39" s="36">
        <v>776166.8</v>
      </c>
      <c r="P39" s="36"/>
      <c r="Q39" s="36"/>
      <c r="R39" s="35">
        <f>SUM(S39:U39)</f>
        <v>776166.8</v>
      </c>
      <c r="S39" s="36">
        <v>776166.8</v>
      </c>
      <c r="T39" s="36"/>
      <c r="U39" s="36"/>
      <c r="V39" s="46">
        <f>J39/F39</f>
        <v>0.88100000000000001</v>
      </c>
      <c r="W39" s="110">
        <f t="shared" si="2"/>
        <v>7.5300000000000006E-2</v>
      </c>
    </row>
    <row r="40" spans="1:23" ht="33">
      <c r="A40" s="9" t="s">
        <v>69</v>
      </c>
      <c r="B40" s="24" t="s">
        <v>70</v>
      </c>
      <c r="C40" s="12" t="s">
        <v>18</v>
      </c>
      <c r="D40" s="12" t="s">
        <v>18</v>
      </c>
      <c r="E40" s="12" t="s">
        <v>18</v>
      </c>
      <c r="F40" s="35">
        <f>F42</f>
        <v>3700</v>
      </c>
      <c r="G40" s="35">
        <f>G42</f>
        <v>3700</v>
      </c>
      <c r="H40" s="35">
        <f t="shared" ref="H40:U40" si="16">H42</f>
        <v>0</v>
      </c>
      <c r="I40" s="35">
        <f t="shared" si="16"/>
        <v>0</v>
      </c>
      <c r="J40" s="35">
        <f>J42</f>
        <v>3519.6</v>
      </c>
      <c r="K40" s="35">
        <f t="shared" si="16"/>
        <v>3519.6</v>
      </c>
      <c r="L40" s="35">
        <f t="shared" si="16"/>
        <v>0</v>
      </c>
      <c r="M40" s="35">
        <f>M42</f>
        <v>0</v>
      </c>
      <c r="N40" s="35">
        <f>N42</f>
        <v>3700</v>
      </c>
      <c r="O40" s="35">
        <f t="shared" si="16"/>
        <v>3700</v>
      </c>
      <c r="P40" s="35">
        <f t="shared" si="16"/>
        <v>0</v>
      </c>
      <c r="Q40" s="35">
        <f t="shared" si="16"/>
        <v>0</v>
      </c>
      <c r="R40" s="35">
        <f>R42</f>
        <v>3700</v>
      </c>
      <c r="S40" s="35">
        <f t="shared" si="16"/>
        <v>3700</v>
      </c>
      <c r="T40" s="35">
        <f t="shared" si="16"/>
        <v>0</v>
      </c>
      <c r="U40" s="35">
        <f t="shared" si="16"/>
        <v>0</v>
      </c>
      <c r="V40" s="45">
        <f>J40/F40</f>
        <v>0.95099999999999996</v>
      </c>
      <c r="W40" s="110">
        <f t="shared" si="2"/>
        <v>3.6000000000000002E-4</v>
      </c>
    </row>
    <row r="41" spans="1:23" ht="17.25">
      <c r="A41" s="9"/>
      <c r="B41" s="26" t="s">
        <v>21</v>
      </c>
      <c r="C41" s="13"/>
      <c r="D41" s="14"/>
      <c r="E41" s="13"/>
      <c r="F41" s="35"/>
      <c r="G41" s="36"/>
      <c r="H41" s="36"/>
      <c r="I41" s="36"/>
      <c r="J41" s="35"/>
      <c r="K41" s="36"/>
      <c r="L41" s="36"/>
      <c r="M41" s="36"/>
      <c r="N41" s="35"/>
      <c r="O41" s="36"/>
      <c r="P41" s="36"/>
      <c r="Q41" s="36"/>
      <c r="R41" s="35"/>
      <c r="S41" s="36"/>
      <c r="T41" s="36"/>
      <c r="U41" s="36"/>
      <c r="V41" s="46"/>
      <c r="W41" s="110">
        <f t="shared" si="2"/>
        <v>0</v>
      </c>
    </row>
    <row r="42" spans="1:23" ht="99">
      <c r="A42" s="9"/>
      <c r="B42" s="26" t="s">
        <v>71</v>
      </c>
      <c r="C42" s="13">
        <v>811</v>
      </c>
      <c r="D42" s="14" t="s">
        <v>28</v>
      </c>
      <c r="E42" s="13" t="s">
        <v>72</v>
      </c>
      <c r="F42" s="35">
        <f>G42</f>
        <v>3700</v>
      </c>
      <c r="G42" s="36">
        <v>3700</v>
      </c>
      <c r="H42" s="36"/>
      <c r="I42" s="36"/>
      <c r="J42" s="35">
        <f>K42</f>
        <v>3519.6</v>
      </c>
      <c r="K42" s="36">
        <v>3519.6</v>
      </c>
      <c r="L42" s="36"/>
      <c r="M42" s="36"/>
      <c r="N42" s="35">
        <f>O42</f>
        <v>3700</v>
      </c>
      <c r="O42" s="36">
        <v>3700</v>
      </c>
      <c r="P42" s="36"/>
      <c r="Q42" s="36"/>
      <c r="R42" s="35">
        <f>S42</f>
        <v>3700</v>
      </c>
      <c r="S42" s="36">
        <v>3700</v>
      </c>
      <c r="T42" s="36"/>
      <c r="U42" s="36"/>
      <c r="V42" s="46">
        <f>J42/F42</f>
        <v>0.95099999999999996</v>
      </c>
      <c r="W42" s="110">
        <f t="shared" si="2"/>
        <v>3.6000000000000002E-4</v>
      </c>
    </row>
    <row r="43" spans="1:23" ht="17.25">
      <c r="A43" s="39" t="s">
        <v>73</v>
      </c>
      <c r="B43" s="40" t="s">
        <v>74</v>
      </c>
      <c r="C43" s="41" t="s">
        <v>18</v>
      </c>
      <c r="D43" s="41" t="s">
        <v>18</v>
      </c>
      <c r="E43" s="41" t="s">
        <v>18</v>
      </c>
      <c r="F43" s="42">
        <f t="shared" ref="F43:U43" si="17">F44+F52+F56+F60+F64</f>
        <v>1216123.5</v>
      </c>
      <c r="G43" s="42">
        <f>G44+G52+G56+G60+G64</f>
        <v>266674</v>
      </c>
      <c r="H43" s="42">
        <f t="shared" si="17"/>
        <v>949449.5</v>
      </c>
      <c r="I43" s="42">
        <f t="shared" si="17"/>
        <v>0</v>
      </c>
      <c r="J43" s="42">
        <f t="shared" ref="J43" si="18">J44+J52+J56+J60+J64</f>
        <v>681304.1</v>
      </c>
      <c r="K43" s="42">
        <f t="shared" si="17"/>
        <v>175104</v>
      </c>
      <c r="L43" s="42">
        <f t="shared" si="17"/>
        <v>506200.1</v>
      </c>
      <c r="M43" s="42">
        <f t="shared" si="17"/>
        <v>0</v>
      </c>
      <c r="N43" s="42">
        <f t="shared" ref="N43" si="19">N44+N52+N56+N60+N64</f>
        <v>2352589.6</v>
      </c>
      <c r="O43" s="42">
        <f t="shared" si="17"/>
        <v>344334.8</v>
      </c>
      <c r="P43" s="42">
        <f t="shared" si="17"/>
        <v>2008254.8</v>
      </c>
      <c r="Q43" s="42">
        <f t="shared" si="17"/>
        <v>0</v>
      </c>
      <c r="R43" s="42">
        <f t="shared" ref="R43" si="20">R44+R52+R56+R60+R64</f>
        <v>3043130.5</v>
      </c>
      <c r="S43" s="42">
        <f>S44+S52+S56+S60+S64</f>
        <v>629368.4</v>
      </c>
      <c r="T43" s="42">
        <f t="shared" si="17"/>
        <v>2413762.1</v>
      </c>
      <c r="U43" s="42">
        <f t="shared" si="17"/>
        <v>0</v>
      </c>
      <c r="V43" s="47">
        <f>J43/F43</f>
        <v>0.56000000000000005</v>
      </c>
      <c r="W43" s="110">
        <f t="shared" si="2"/>
        <v>0.11799</v>
      </c>
    </row>
    <row r="44" spans="1:23" ht="49.5">
      <c r="A44" s="9" t="s">
        <v>75</v>
      </c>
      <c r="B44" s="24" t="s">
        <v>76</v>
      </c>
      <c r="C44" s="12" t="s">
        <v>18</v>
      </c>
      <c r="D44" s="12" t="s">
        <v>18</v>
      </c>
      <c r="E44" s="12" t="s">
        <v>18</v>
      </c>
      <c r="F44" s="35">
        <f>SUM(G44:H44)</f>
        <v>282225.8</v>
      </c>
      <c r="G44" s="35">
        <f>SUM(G46:G51)</f>
        <v>135045</v>
      </c>
      <c r="H44" s="35">
        <f t="shared" ref="H44:I44" si="21">SUM(H46:H51)</f>
        <v>147180.79999999999</v>
      </c>
      <c r="I44" s="35">
        <f t="shared" si="21"/>
        <v>0</v>
      </c>
      <c r="J44" s="35">
        <f>SUM(K44:L44)</f>
        <v>273595.7</v>
      </c>
      <c r="K44" s="35">
        <f>SUM(K46:K51)</f>
        <v>134665</v>
      </c>
      <c r="L44" s="35">
        <f t="shared" ref="L44" si="22">SUM(L46:L51)</f>
        <v>138930.70000000001</v>
      </c>
      <c r="M44" s="35">
        <f>SUM(M45:M51)</f>
        <v>0</v>
      </c>
      <c r="N44" s="35">
        <f>SUM(O44:P44)</f>
        <v>198221.5</v>
      </c>
      <c r="O44" s="35">
        <f>SUM(O46:O51)</f>
        <v>90100</v>
      </c>
      <c r="P44" s="35">
        <f t="shared" ref="P44:Q44" si="23">SUM(P46:P51)</f>
        <v>108121.5</v>
      </c>
      <c r="Q44" s="35">
        <f t="shared" si="23"/>
        <v>0</v>
      </c>
      <c r="R44" s="35">
        <f>SUM(S44:U44)</f>
        <v>263859.3</v>
      </c>
      <c r="S44" s="35">
        <f>SUM(S46:S51)</f>
        <v>96000</v>
      </c>
      <c r="T44" s="35">
        <f t="shared" ref="T44:U44" si="24">SUM(T46:T51)</f>
        <v>167859.3</v>
      </c>
      <c r="U44" s="35">
        <f t="shared" si="24"/>
        <v>0</v>
      </c>
      <c r="V44" s="45">
        <f>J44/F44</f>
        <v>0.96899999999999997</v>
      </c>
      <c r="W44" s="110">
        <f t="shared" si="2"/>
        <v>2.7380000000000002E-2</v>
      </c>
    </row>
    <row r="45" spans="1:23" ht="17.25">
      <c r="A45" s="11"/>
      <c r="B45" s="25" t="s">
        <v>21</v>
      </c>
      <c r="C45" s="13"/>
      <c r="D45" s="13"/>
      <c r="E45" s="13"/>
      <c r="F45" s="35"/>
      <c r="G45" s="36"/>
      <c r="H45" s="36"/>
      <c r="I45" s="36"/>
      <c r="J45" s="35"/>
      <c r="K45" s="36"/>
      <c r="L45" s="36"/>
      <c r="M45" s="36"/>
      <c r="N45" s="35"/>
      <c r="O45" s="36"/>
      <c r="P45" s="36"/>
      <c r="Q45" s="36"/>
      <c r="R45" s="35"/>
      <c r="S45" s="36"/>
      <c r="T45" s="36"/>
      <c r="U45" s="36"/>
      <c r="V45" s="46"/>
      <c r="W45" s="110">
        <f t="shared" si="2"/>
        <v>0</v>
      </c>
    </row>
    <row r="46" spans="1:23" ht="82.5">
      <c r="A46" s="11" t="s">
        <v>22</v>
      </c>
      <c r="B46" s="26" t="s">
        <v>77</v>
      </c>
      <c r="C46" s="13">
        <v>811</v>
      </c>
      <c r="D46" s="14" t="s">
        <v>28</v>
      </c>
      <c r="E46" s="13" t="s">
        <v>78</v>
      </c>
      <c r="F46" s="35">
        <f t="shared" ref="F46:F52" si="25">SUM(G46:H46)</f>
        <v>0</v>
      </c>
      <c r="G46" s="36"/>
      <c r="H46" s="36"/>
      <c r="I46" s="36"/>
      <c r="J46" s="35">
        <f t="shared" ref="J46:J51" si="26">SUM(K46:L46)</f>
        <v>0</v>
      </c>
      <c r="K46" s="36"/>
      <c r="L46" s="36"/>
      <c r="M46" s="36"/>
      <c r="N46" s="35">
        <f t="shared" ref="N46:N52" si="27">SUM(O46:P46)</f>
        <v>0</v>
      </c>
      <c r="O46" s="36"/>
      <c r="P46" s="36"/>
      <c r="Q46" s="36"/>
      <c r="R46" s="35">
        <f>SUM(S46:U46)</f>
        <v>65569</v>
      </c>
      <c r="S46" s="36"/>
      <c r="T46" s="36">
        <v>65569</v>
      </c>
      <c r="U46" s="36"/>
      <c r="V46" s="46"/>
      <c r="W46" s="110">
        <f t="shared" si="2"/>
        <v>0</v>
      </c>
    </row>
    <row r="47" spans="1:23" ht="82.5">
      <c r="A47" s="11" t="s">
        <v>22</v>
      </c>
      <c r="B47" s="26" t="s">
        <v>79</v>
      </c>
      <c r="C47" s="13">
        <v>811</v>
      </c>
      <c r="D47" s="14" t="s">
        <v>28</v>
      </c>
      <c r="E47" s="13" t="s">
        <v>80</v>
      </c>
      <c r="F47" s="35">
        <f t="shared" si="25"/>
        <v>21521</v>
      </c>
      <c r="G47" s="36"/>
      <c r="H47" s="36">
        <v>21521</v>
      </c>
      <c r="I47" s="36"/>
      <c r="J47" s="35">
        <f t="shared" si="26"/>
        <v>13270.9</v>
      </c>
      <c r="K47" s="36"/>
      <c r="L47" s="36">
        <f>12936.8+334.11</f>
        <v>13270.9</v>
      </c>
      <c r="M47" s="36"/>
      <c r="N47" s="35">
        <f t="shared" si="27"/>
        <v>0</v>
      </c>
      <c r="O47" s="36"/>
      <c r="P47" s="36"/>
      <c r="Q47" s="36"/>
      <c r="R47" s="35">
        <f t="shared" ref="R47:R51" si="28">SUM(S47:U47)</f>
        <v>0</v>
      </c>
      <c r="S47" s="36"/>
      <c r="T47" s="36"/>
      <c r="U47" s="36"/>
      <c r="V47" s="46">
        <f t="shared" ref="V47:V52" si="29">J47/F47</f>
        <v>0.61699999999999999</v>
      </c>
      <c r="W47" s="110">
        <f t="shared" si="2"/>
        <v>2.0899999999999998E-3</v>
      </c>
    </row>
    <row r="48" spans="1:23" ht="66">
      <c r="A48" s="11" t="s">
        <v>32</v>
      </c>
      <c r="B48" s="26" t="s">
        <v>81</v>
      </c>
      <c r="C48" s="13">
        <v>811</v>
      </c>
      <c r="D48" s="14" t="s">
        <v>28</v>
      </c>
      <c r="E48" s="13" t="s">
        <v>82</v>
      </c>
      <c r="F48" s="35">
        <f t="shared" si="25"/>
        <v>150000</v>
      </c>
      <c r="G48" s="36">
        <v>24340.2</v>
      </c>
      <c r="H48" s="36">
        <v>125659.8</v>
      </c>
      <c r="I48" s="36"/>
      <c r="J48" s="35">
        <f t="shared" si="26"/>
        <v>150000</v>
      </c>
      <c r="K48" s="36">
        <f>17286.95+3786.25+3267</f>
        <v>24340.2</v>
      </c>
      <c r="L48" s="36">
        <f>89246.38+19547.08+16866.34</f>
        <v>125659.8</v>
      </c>
      <c r="M48" s="36"/>
      <c r="N48" s="35">
        <f t="shared" si="27"/>
        <v>150000</v>
      </c>
      <c r="O48" s="36">
        <v>41878.5</v>
      </c>
      <c r="P48" s="36">
        <v>108121.5</v>
      </c>
      <c r="Q48" s="36"/>
      <c r="R48" s="35">
        <f t="shared" si="28"/>
        <v>150000</v>
      </c>
      <c r="S48" s="36">
        <v>47709.7</v>
      </c>
      <c r="T48" s="36">
        <v>102290.3</v>
      </c>
      <c r="U48" s="36"/>
      <c r="V48" s="46">
        <f t="shared" si="29"/>
        <v>1</v>
      </c>
      <c r="W48" s="110">
        <f t="shared" si="2"/>
        <v>1.455E-2</v>
      </c>
    </row>
    <row r="49" spans="1:23" ht="49.5">
      <c r="A49" s="11"/>
      <c r="B49" s="26" t="s">
        <v>83</v>
      </c>
      <c r="C49" s="13">
        <v>811</v>
      </c>
      <c r="D49" s="14" t="s">
        <v>28</v>
      </c>
      <c r="E49" s="13" t="s">
        <v>84</v>
      </c>
      <c r="F49" s="35">
        <f t="shared" si="25"/>
        <v>6000</v>
      </c>
      <c r="G49" s="36">
        <v>6000</v>
      </c>
      <c r="H49" s="36"/>
      <c r="I49" s="36"/>
      <c r="J49" s="35">
        <f t="shared" si="26"/>
        <v>6000</v>
      </c>
      <c r="K49" s="36">
        <v>6000</v>
      </c>
      <c r="L49" s="36"/>
      <c r="M49" s="36"/>
      <c r="N49" s="35">
        <f t="shared" si="27"/>
        <v>6000</v>
      </c>
      <c r="O49" s="36">
        <v>6000</v>
      </c>
      <c r="P49" s="36"/>
      <c r="Q49" s="36"/>
      <c r="R49" s="35">
        <f t="shared" si="28"/>
        <v>6000</v>
      </c>
      <c r="S49" s="36">
        <v>6000</v>
      </c>
      <c r="T49" s="36"/>
      <c r="U49" s="36"/>
      <c r="V49" s="46">
        <f t="shared" si="29"/>
        <v>1</v>
      </c>
      <c r="W49" s="110">
        <f t="shared" si="2"/>
        <v>5.8E-4</v>
      </c>
    </row>
    <row r="50" spans="1:23" ht="49.5">
      <c r="A50" s="11"/>
      <c r="B50" s="26" t="s">
        <v>85</v>
      </c>
      <c r="C50" s="13">
        <v>811</v>
      </c>
      <c r="D50" s="14" t="s">
        <v>28</v>
      </c>
      <c r="E50" s="13" t="s">
        <v>86</v>
      </c>
      <c r="F50" s="35">
        <f t="shared" si="25"/>
        <v>102804.8</v>
      </c>
      <c r="G50" s="36">
        <f>52059.8+50745</f>
        <v>102804.8</v>
      </c>
      <c r="H50" s="36"/>
      <c r="I50" s="36"/>
      <c r="J50" s="35">
        <f t="shared" si="26"/>
        <v>102804.8</v>
      </c>
      <c r="K50" s="36">
        <f>52059.8+50745</f>
        <v>102804.8</v>
      </c>
      <c r="L50" s="36"/>
      <c r="M50" s="36"/>
      <c r="N50" s="35">
        <f t="shared" si="27"/>
        <v>40321.5</v>
      </c>
      <c r="O50" s="36">
        <v>40321.5</v>
      </c>
      <c r="P50" s="36"/>
      <c r="Q50" s="36"/>
      <c r="R50" s="35">
        <f t="shared" si="28"/>
        <v>40390.300000000003</v>
      </c>
      <c r="S50" s="36">
        <v>40390.300000000003</v>
      </c>
      <c r="T50" s="36"/>
      <c r="U50" s="36"/>
      <c r="V50" s="46">
        <f t="shared" si="29"/>
        <v>1</v>
      </c>
      <c r="W50" s="110">
        <f t="shared" si="2"/>
        <v>9.9699999999999997E-3</v>
      </c>
    </row>
    <row r="51" spans="1:23" ht="82.5">
      <c r="A51" s="11"/>
      <c r="B51" s="26" t="s">
        <v>87</v>
      </c>
      <c r="C51" s="13">
        <v>811</v>
      </c>
      <c r="D51" s="14" t="s">
        <v>28</v>
      </c>
      <c r="E51" s="13" t="s">
        <v>88</v>
      </c>
      <c r="F51" s="35">
        <f t="shared" si="25"/>
        <v>1900</v>
      </c>
      <c r="G51" s="36">
        <v>1900</v>
      </c>
      <c r="H51" s="36"/>
      <c r="I51" s="36"/>
      <c r="J51" s="35">
        <f t="shared" si="26"/>
        <v>1520</v>
      </c>
      <c r="K51" s="36">
        <v>1520</v>
      </c>
      <c r="L51" s="36"/>
      <c r="M51" s="36"/>
      <c r="N51" s="35">
        <f t="shared" si="27"/>
        <v>1900</v>
      </c>
      <c r="O51" s="36">
        <v>1900</v>
      </c>
      <c r="P51" s="36"/>
      <c r="Q51" s="36"/>
      <c r="R51" s="35">
        <f t="shared" si="28"/>
        <v>1900</v>
      </c>
      <c r="S51" s="36">
        <v>1900</v>
      </c>
      <c r="T51" s="36"/>
      <c r="U51" s="36"/>
      <c r="V51" s="46">
        <f t="shared" si="29"/>
        <v>0.8</v>
      </c>
      <c r="W51" s="110">
        <f t="shared" si="2"/>
        <v>1.8000000000000001E-4</v>
      </c>
    </row>
    <row r="52" spans="1:23" ht="49.5">
      <c r="A52" s="9" t="s">
        <v>89</v>
      </c>
      <c r="B52" s="24" t="s">
        <v>90</v>
      </c>
      <c r="C52" s="12" t="s">
        <v>18</v>
      </c>
      <c r="D52" s="12" t="s">
        <v>18</v>
      </c>
      <c r="E52" s="12" t="s">
        <v>18</v>
      </c>
      <c r="F52" s="35">
        <f t="shared" si="25"/>
        <v>80052.5</v>
      </c>
      <c r="G52" s="35">
        <f>SUM(G54:G55)</f>
        <v>5500</v>
      </c>
      <c r="H52" s="35">
        <f t="shared" ref="H52:J52" si="30">SUM(H54:H55)</f>
        <v>74552.5</v>
      </c>
      <c r="I52" s="35">
        <f t="shared" si="30"/>
        <v>0</v>
      </c>
      <c r="J52" s="35">
        <f t="shared" si="30"/>
        <v>11203.5</v>
      </c>
      <c r="K52" s="35">
        <f>SUM(K54:K55)</f>
        <v>4686.5</v>
      </c>
      <c r="L52" s="35">
        <f t="shared" ref="L52" si="31">SUM(L54:L55)</f>
        <v>6517</v>
      </c>
      <c r="M52" s="35">
        <f>SUM(M54:M55)</f>
        <v>0</v>
      </c>
      <c r="N52" s="35">
        <f t="shared" si="27"/>
        <v>90539.4</v>
      </c>
      <c r="O52" s="35">
        <f>SUM(O54:O55)</f>
        <v>5500</v>
      </c>
      <c r="P52" s="35">
        <f t="shared" ref="P52:R52" si="32">SUM(P54:P55)</f>
        <v>85039.4</v>
      </c>
      <c r="Q52" s="35">
        <f t="shared" si="32"/>
        <v>0</v>
      </c>
      <c r="R52" s="35">
        <f t="shared" si="32"/>
        <v>71706.899999999994</v>
      </c>
      <c r="S52" s="35">
        <f>SUM(S54:S55)</f>
        <v>5500</v>
      </c>
      <c r="T52" s="35">
        <f t="shared" ref="T52:U52" si="33">SUM(T54:T55)</f>
        <v>66206.899999999994</v>
      </c>
      <c r="U52" s="35">
        <f t="shared" si="33"/>
        <v>0</v>
      </c>
      <c r="V52" s="45">
        <f t="shared" si="29"/>
        <v>0.14000000000000001</v>
      </c>
      <c r="W52" s="110">
        <f t="shared" si="2"/>
        <v>7.77E-3</v>
      </c>
    </row>
    <row r="53" spans="1:23" ht="17.25">
      <c r="A53" s="11"/>
      <c r="B53" s="25" t="s">
        <v>21</v>
      </c>
      <c r="C53" s="13"/>
      <c r="D53" s="13"/>
      <c r="E53" s="13"/>
      <c r="F53" s="35"/>
      <c r="G53" s="36"/>
      <c r="H53" s="36"/>
      <c r="I53" s="36"/>
      <c r="J53" s="35"/>
      <c r="K53" s="36"/>
      <c r="L53" s="36"/>
      <c r="M53" s="36"/>
      <c r="N53" s="35"/>
      <c r="O53" s="36"/>
      <c r="P53" s="36"/>
      <c r="Q53" s="36"/>
      <c r="R53" s="35"/>
      <c r="S53" s="36"/>
      <c r="T53" s="36"/>
      <c r="U53" s="36"/>
      <c r="V53" s="46"/>
      <c r="W53" s="110">
        <f t="shared" si="2"/>
        <v>0</v>
      </c>
    </row>
    <row r="54" spans="1:23" s="18" customFormat="1" ht="49.5">
      <c r="A54" s="15" t="s">
        <v>22</v>
      </c>
      <c r="B54" s="27" t="s">
        <v>91</v>
      </c>
      <c r="C54" s="16">
        <v>811</v>
      </c>
      <c r="D54" s="17" t="s">
        <v>28</v>
      </c>
      <c r="E54" s="16" t="s">
        <v>92</v>
      </c>
      <c r="F54" s="37">
        <f>SUM(G54:H54)</f>
        <v>74552.5</v>
      </c>
      <c r="G54" s="38"/>
      <c r="H54" s="38">
        <v>74552.5</v>
      </c>
      <c r="I54" s="38"/>
      <c r="J54" s="37">
        <f>SUM(K54:L54)</f>
        <v>6517</v>
      </c>
      <c r="K54" s="38"/>
      <c r="L54" s="38">
        <v>6517</v>
      </c>
      <c r="M54" s="38"/>
      <c r="N54" s="37">
        <f>SUM(O54:P54)</f>
        <v>85039.4</v>
      </c>
      <c r="O54" s="38"/>
      <c r="P54" s="38">
        <v>85039.4</v>
      </c>
      <c r="Q54" s="38"/>
      <c r="R54" s="37">
        <f t="shared" ref="R54:R55" si="34">SUM(S54:U54)</f>
        <v>66206.899999999994</v>
      </c>
      <c r="S54" s="38"/>
      <c r="T54" s="38">
        <v>66206.899999999994</v>
      </c>
      <c r="U54" s="38"/>
      <c r="V54" s="48">
        <f>J54/F54</f>
        <v>8.6999999999999994E-2</v>
      </c>
      <c r="W54" s="110">
        <f t="shared" si="2"/>
        <v>7.2300000000000003E-3</v>
      </c>
    </row>
    <row r="55" spans="1:23" s="18" customFormat="1" ht="66">
      <c r="A55" s="15"/>
      <c r="B55" s="27" t="s">
        <v>93</v>
      </c>
      <c r="C55" s="16">
        <v>811</v>
      </c>
      <c r="D55" s="17" t="s">
        <v>28</v>
      </c>
      <c r="E55" s="16" t="s">
        <v>94</v>
      </c>
      <c r="F55" s="35">
        <f>SUM(G55:H55)</f>
        <v>5500</v>
      </c>
      <c r="G55" s="38">
        <v>5500</v>
      </c>
      <c r="H55" s="38"/>
      <c r="I55" s="38"/>
      <c r="J55" s="37">
        <f>SUM(K55:L55)</f>
        <v>4686.5</v>
      </c>
      <c r="K55" s="38">
        <v>4686.5</v>
      </c>
      <c r="L55" s="38"/>
      <c r="M55" s="38"/>
      <c r="N55" s="37">
        <f>SUM(O55:P55)</f>
        <v>5500</v>
      </c>
      <c r="O55" s="38">
        <v>5500</v>
      </c>
      <c r="P55" s="38"/>
      <c r="Q55" s="38"/>
      <c r="R55" s="37">
        <f t="shared" si="34"/>
        <v>5500</v>
      </c>
      <c r="S55" s="38">
        <v>5500</v>
      </c>
      <c r="T55" s="38"/>
      <c r="U55" s="38"/>
      <c r="V55" s="48">
        <f>J55/F55</f>
        <v>0.85199999999999998</v>
      </c>
      <c r="W55" s="110">
        <f t="shared" si="2"/>
        <v>5.2999999999999998E-4</v>
      </c>
    </row>
    <row r="56" spans="1:23" ht="82.5">
      <c r="A56" s="9" t="s">
        <v>95</v>
      </c>
      <c r="B56" s="24" t="s">
        <v>96</v>
      </c>
      <c r="C56" s="12" t="s">
        <v>18</v>
      </c>
      <c r="D56" s="12" t="s">
        <v>18</v>
      </c>
      <c r="E56" s="12" t="s">
        <v>18</v>
      </c>
      <c r="F56" s="35">
        <f>SUM(G56:H56)</f>
        <v>106204.4</v>
      </c>
      <c r="G56" s="35">
        <f>SUM(G58:G59)</f>
        <v>20129.8</v>
      </c>
      <c r="H56" s="35">
        <f t="shared" ref="H56:J56" si="35">SUM(H58:H59)</f>
        <v>86074.6</v>
      </c>
      <c r="I56" s="35">
        <f t="shared" si="35"/>
        <v>0</v>
      </c>
      <c r="J56" s="35">
        <f t="shared" si="35"/>
        <v>44615.9</v>
      </c>
      <c r="K56" s="35">
        <f>SUM(K58:K59)</f>
        <v>9368.7000000000007</v>
      </c>
      <c r="L56" s="35">
        <f t="shared" ref="L56" si="36">SUM(L58:L59)</f>
        <v>35247.199999999997</v>
      </c>
      <c r="M56" s="35">
        <f>SUM(M58:M59)</f>
        <v>0</v>
      </c>
      <c r="N56" s="35">
        <f>SUM(O56:P56)</f>
        <v>107658.4</v>
      </c>
      <c r="O56" s="35">
        <f>SUM(O58:O59)</f>
        <v>20377</v>
      </c>
      <c r="P56" s="35">
        <f t="shared" ref="P56:Q56" si="37">SUM(P58:P59)</f>
        <v>87281.4</v>
      </c>
      <c r="Q56" s="35">
        <f t="shared" si="37"/>
        <v>0</v>
      </c>
      <c r="R56" s="35">
        <f>SUM(S56:U56)</f>
        <v>2500</v>
      </c>
      <c r="S56" s="35">
        <f>SUM(S58:S59)</f>
        <v>2500</v>
      </c>
      <c r="T56" s="35">
        <f t="shared" ref="T56:U56" si="38">SUM(T58:T59)</f>
        <v>0</v>
      </c>
      <c r="U56" s="35">
        <f t="shared" si="38"/>
        <v>0</v>
      </c>
      <c r="V56" s="45">
        <f>J56/F56</f>
        <v>0.42</v>
      </c>
      <c r="W56" s="110">
        <f t="shared" si="2"/>
        <v>1.03E-2</v>
      </c>
    </row>
    <row r="57" spans="1:23" ht="17.25">
      <c r="A57" s="11"/>
      <c r="B57" s="25" t="s">
        <v>21</v>
      </c>
      <c r="C57" s="13"/>
      <c r="D57" s="13"/>
      <c r="E57" s="13"/>
      <c r="F57" s="35"/>
      <c r="G57" s="36"/>
      <c r="H57" s="36"/>
      <c r="I57" s="36"/>
      <c r="J57" s="35"/>
      <c r="K57" s="36"/>
      <c r="L57" s="36"/>
      <c r="M57" s="36"/>
      <c r="N57" s="35"/>
      <c r="O57" s="36"/>
      <c r="P57" s="36"/>
      <c r="Q57" s="36"/>
      <c r="R57" s="35"/>
      <c r="S57" s="36"/>
      <c r="T57" s="36"/>
      <c r="U57" s="36"/>
      <c r="V57" s="46"/>
      <c r="W57" s="110">
        <f t="shared" si="2"/>
        <v>0</v>
      </c>
    </row>
    <row r="58" spans="1:23" ht="82.5">
      <c r="A58" s="11" t="s">
        <v>32</v>
      </c>
      <c r="B58" s="26" t="s">
        <v>97</v>
      </c>
      <c r="C58" s="13">
        <v>811</v>
      </c>
      <c r="D58" s="14" t="s">
        <v>28</v>
      </c>
      <c r="E58" s="13" t="s">
        <v>98</v>
      </c>
      <c r="F58" s="35">
        <f>SUM(G58:H58)</f>
        <v>103704.4</v>
      </c>
      <c r="G58" s="36">
        <f>17629.8+102.1873-102.1873</f>
        <v>17629.8</v>
      </c>
      <c r="H58" s="36">
        <f>86074.6+498.9127-498.9127</f>
        <v>86074.6</v>
      </c>
      <c r="I58" s="36"/>
      <c r="J58" s="35">
        <f>SUM(K58:L58)</f>
        <v>42466.5</v>
      </c>
      <c r="K58" s="36">
        <f>6755.8+463.53</f>
        <v>7219.3</v>
      </c>
      <c r="L58" s="36">
        <f>32984.1+2263.12</f>
        <v>35247.199999999997</v>
      </c>
      <c r="M58" s="36"/>
      <c r="N58" s="35">
        <f>SUM(O58:P58)</f>
        <v>105158.39999999999</v>
      </c>
      <c r="O58" s="36">
        <f>17629.8+247.2</f>
        <v>17877</v>
      </c>
      <c r="P58" s="36">
        <f>86074.6+1206.8</f>
        <v>87281.4</v>
      </c>
      <c r="Q58" s="36"/>
      <c r="R58" s="35">
        <f t="shared" ref="R58:R59" si="39">SUM(S58:U58)</f>
        <v>0</v>
      </c>
      <c r="S58" s="36"/>
      <c r="T58" s="36"/>
      <c r="U58" s="36"/>
      <c r="V58" s="46">
        <f>J58/F58</f>
        <v>0.40899999999999997</v>
      </c>
      <c r="W58" s="110">
        <f t="shared" si="2"/>
        <v>1.0059999999999999E-2</v>
      </c>
    </row>
    <row r="59" spans="1:23" ht="49.5">
      <c r="A59" s="11"/>
      <c r="B59" s="26" t="s">
        <v>99</v>
      </c>
      <c r="C59" s="13">
        <v>811</v>
      </c>
      <c r="D59" s="14" t="s">
        <v>28</v>
      </c>
      <c r="E59" s="13" t="s">
        <v>100</v>
      </c>
      <c r="F59" s="35">
        <f>SUM(G59:H59)</f>
        <v>2500</v>
      </c>
      <c r="G59" s="36">
        <v>2500</v>
      </c>
      <c r="H59" s="36"/>
      <c r="I59" s="36"/>
      <c r="J59" s="35">
        <f>SUM(K59:L59)</f>
        <v>2149.4</v>
      </c>
      <c r="K59" s="36">
        <v>2149.42</v>
      </c>
      <c r="L59" s="36"/>
      <c r="M59" s="36"/>
      <c r="N59" s="35">
        <f>SUM(O59:P59)</f>
        <v>2500</v>
      </c>
      <c r="O59" s="36">
        <v>2500</v>
      </c>
      <c r="P59" s="36"/>
      <c r="Q59" s="36"/>
      <c r="R59" s="35">
        <f t="shared" si="39"/>
        <v>2500</v>
      </c>
      <c r="S59" s="36">
        <v>2500</v>
      </c>
      <c r="T59" s="36"/>
      <c r="U59" s="36"/>
      <c r="V59" s="46">
        <f>J59/F59</f>
        <v>0.86</v>
      </c>
      <c r="W59" s="110">
        <f t="shared" si="2"/>
        <v>2.4000000000000001E-4</v>
      </c>
    </row>
    <row r="60" spans="1:23" ht="99">
      <c r="A60" s="9" t="s">
        <v>101</v>
      </c>
      <c r="B60" s="24" t="s">
        <v>102</v>
      </c>
      <c r="C60" s="12" t="s">
        <v>18</v>
      </c>
      <c r="D60" s="12" t="s">
        <v>18</v>
      </c>
      <c r="E60" s="12" t="s">
        <v>18</v>
      </c>
      <c r="F60" s="35">
        <f>SUM(G60:H60)</f>
        <v>138662</v>
      </c>
      <c r="G60" s="35">
        <f>SUM(G62:G63)</f>
        <v>26290</v>
      </c>
      <c r="H60" s="35">
        <f t="shared" ref="H60:K60" si="40">SUM(H62:H63)</f>
        <v>112372</v>
      </c>
      <c r="I60" s="35">
        <f t="shared" si="40"/>
        <v>0</v>
      </c>
      <c r="J60" s="35">
        <f t="shared" si="40"/>
        <v>64422</v>
      </c>
      <c r="K60" s="35">
        <f t="shared" si="40"/>
        <v>14848.2</v>
      </c>
      <c r="L60" s="35">
        <f t="shared" ref="L60" si="41">SUM(L62:L63)</f>
        <v>49573.8</v>
      </c>
      <c r="M60" s="35">
        <f>SUM(M62:M63)</f>
        <v>0</v>
      </c>
      <c r="N60" s="35">
        <f>SUM(O60:P60)</f>
        <v>405713</v>
      </c>
      <c r="O60" s="35">
        <f>SUM(O62:O63)</f>
        <v>26290</v>
      </c>
      <c r="P60" s="35">
        <f t="shared" ref="P60:Q60" si="42">SUM(P62:P63)</f>
        <v>379423</v>
      </c>
      <c r="Q60" s="35">
        <f t="shared" si="42"/>
        <v>0</v>
      </c>
      <c r="R60" s="35">
        <f>SUM(S60:U60)</f>
        <v>132395.1</v>
      </c>
      <c r="S60" s="35">
        <f>SUM(S62:S63)</f>
        <v>26290</v>
      </c>
      <c r="T60" s="35">
        <f t="shared" ref="T60:U60" si="43">SUM(T62:T63)</f>
        <v>106105.1</v>
      </c>
      <c r="U60" s="35">
        <f t="shared" si="43"/>
        <v>0</v>
      </c>
      <c r="V60" s="45">
        <f>J60/F60</f>
        <v>0.46500000000000002</v>
      </c>
      <c r="W60" s="110">
        <f t="shared" si="2"/>
        <v>1.345E-2</v>
      </c>
    </row>
    <row r="61" spans="1:23" ht="17.25">
      <c r="A61" s="11"/>
      <c r="B61" s="25" t="s">
        <v>21</v>
      </c>
      <c r="C61" s="13"/>
      <c r="D61" s="13"/>
      <c r="E61" s="13"/>
      <c r="F61" s="35"/>
      <c r="G61" s="36"/>
      <c r="H61" s="36"/>
      <c r="I61" s="36"/>
      <c r="J61" s="35"/>
      <c r="K61" s="36"/>
      <c r="L61" s="36"/>
      <c r="M61" s="36"/>
      <c r="N61" s="35"/>
      <c r="O61" s="36"/>
      <c r="P61" s="36"/>
      <c r="Q61" s="36"/>
      <c r="R61" s="35"/>
      <c r="S61" s="36"/>
      <c r="T61" s="36"/>
      <c r="U61" s="36"/>
      <c r="V61" s="46"/>
      <c r="W61" s="110">
        <f t="shared" si="2"/>
        <v>0</v>
      </c>
    </row>
    <row r="62" spans="1:23" ht="82.5">
      <c r="A62" s="11" t="s">
        <v>32</v>
      </c>
      <c r="B62" s="26" t="s">
        <v>103</v>
      </c>
      <c r="C62" s="13">
        <v>811</v>
      </c>
      <c r="D62" s="14" t="s">
        <v>28</v>
      </c>
      <c r="E62" s="13" t="s">
        <v>104</v>
      </c>
      <c r="F62" s="35">
        <f>SUM(G62:H62)</f>
        <v>130162</v>
      </c>
      <c r="G62" s="36">
        <v>17790</v>
      </c>
      <c r="H62" s="36">
        <v>112372</v>
      </c>
      <c r="I62" s="36"/>
      <c r="J62" s="35">
        <f>SUM(K62:L62)</f>
        <v>57422</v>
      </c>
      <c r="K62" s="36">
        <v>7848.2</v>
      </c>
      <c r="L62" s="36">
        <v>49573.8</v>
      </c>
      <c r="M62" s="36"/>
      <c r="N62" s="35">
        <f>SUM(O62:P62)</f>
        <v>397213</v>
      </c>
      <c r="O62" s="36">
        <v>17790</v>
      </c>
      <c r="P62" s="36">
        <v>379423</v>
      </c>
      <c r="Q62" s="36"/>
      <c r="R62" s="35">
        <f t="shared" ref="R62:R63" si="44">SUM(S62:U62)</f>
        <v>123895.1</v>
      </c>
      <c r="S62" s="36">
        <v>17790</v>
      </c>
      <c r="T62" s="36">
        <v>106105.1</v>
      </c>
      <c r="U62" s="36"/>
      <c r="V62" s="46">
        <f>J62/F62</f>
        <v>0.441</v>
      </c>
      <c r="W62" s="110">
        <f t="shared" si="2"/>
        <v>1.2630000000000001E-2</v>
      </c>
    </row>
    <row r="63" spans="1:23" ht="66">
      <c r="A63" s="11"/>
      <c r="B63" s="26" t="s">
        <v>105</v>
      </c>
      <c r="C63" s="13">
        <v>811</v>
      </c>
      <c r="D63" s="14" t="s">
        <v>28</v>
      </c>
      <c r="E63" s="13" t="s">
        <v>106</v>
      </c>
      <c r="F63" s="35">
        <f>SUM(G63:H63)</f>
        <v>8500</v>
      </c>
      <c r="G63" s="36">
        <v>8500</v>
      </c>
      <c r="H63" s="36"/>
      <c r="I63" s="36"/>
      <c r="J63" s="35">
        <f>SUM(K63:L63)</f>
        <v>7000</v>
      </c>
      <c r="K63" s="36">
        <v>7000</v>
      </c>
      <c r="L63" s="36"/>
      <c r="M63" s="36"/>
      <c r="N63" s="35">
        <f>SUM(O63:P63)</f>
        <v>8500</v>
      </c>
      <c r="O63" s="36">
        <v>8500</v>
      </c>
      <c r="P63" s="36"/>
      <c r="Q63" s="36"/>
      <c r="R63" s="35">
        <f t="shared" si="44"/>
        <v>8500</v>
      </c>
      <c r="S63" s="36">
        <v>8500</v>
      </c>
      <c r="T63" s="36"/>
      <c r="U63" s="36"/>
      <c r="V63" s="46">
        <f>J63/F63</f>
        <v>0.82399999999999995</v>
      </c>
      <c r="W63" s="110">
        <f t="shared" si="2"/>
        <v>8.1999999999999998E-4</v>
      </c>
    </row>
    <row r="64" spans="1:23" ht="33">
      <c r="A64" s="9" t="s">
        <v>107</v>
      </c>
      <c r="B64" s="24" t="s">
        <v>108</v>
      </c>
      <c r="C64" s="12" t="s">
        <v>18</v>
      </c>
      <c r="D64" s="12" t="s">
        <v>18</v>
      </c>
      <c r="E64" s="12" t="s">
        <v>18</v>
      </c>
      <c r="F64" s="35">
        <f>SUM(F66:F69)</f>
        <v>608978.80000000005</v>
      </c>
      <c r="G64" s="35">
        <f t="shared" ref="G64:U64" si="45">SUM(G66:G69)</f>
        <v>79709.2</v>
      </c>
      <c r="H64" s="35">
        <f t="shared" si="45"/>
        <v>529269.6</v>
      </c>
      <c r="I64" s="35">
        <f t="shared" si="45"/>
        <v>0</v>
      </c>
      <c r="J64" s="35">
        <f t="shared" si="45"/>
        <v>287467</v>
      </c>
      <c r="K64" s="35">
        <f t="shared" si="45"/>
        <v>11535.6</v>
      </c>
      <c r="L64" s="35">
        <f t="shared" si="45"/>
        <v>275931.40000000002</v>
      </c>
      <c r="M64" s="35">
        <f>SUM(M66:M69)</f>
        <v>0</v>
      </c>
      <c r="N64" s="35">
        <f t="shared" si="45"/>
        <v>1550457.3</v>
      </c>
      <c r="O64" s="35">
        <f t="shared" si="45"/>
        <v>202067.8</v>
      </c>
      <c r="P64" s="35">
        <f t="shared" si="45"/>
        <v>1348389.5</v>
      </c>
      <c r="Q64" s="35">
        <f t="shared" si="45"/>
        <v>0</v>
      </c>
      <c r="R64" s="35">
        <f t="shared" si="45"/>
        <v>2572669.2000000002</v>
      </c>
      <c r="S64" s="35">
        <f t="shared" si="45"/>
        <v>499078.40000000002</v>
      </c>
      <c r="T64" s="35">
        <f t="shared" si="45"/>
        <v>2073590.8</v>
      </c>
      <c r="U64" s="35">
        <f t="shared" si="45"/>
        <v>0</v>
      </c>
      <c r="V64" s="45">
        <f>J64/F64</f>
        <v>0.47199999999999998</v>
      </c>
      <c r="W64" s="110">
        <f t="shared" si="2"/>
        <v>5.9080000000000001E-2</v>
      </c>
    </row>
    <row r="65" spans="1:23" ht="17.25">
      <c r="A65" s="11"/>
      <c r="B65" s="25" t="s">
        <v>21</v>
      </c>
      <c r="C65" s="13"/>
      <c r="D65" s="13"/>
      <c r="E65" s="13"/>
      <c r="F65" s="35"/>
      <c r="G65" s="36"/>
      <c r="H65" s="36"/>
      <c r="I65" s="36"/>
      <c r="J65" s="35"/>
      <c r="K65" s="36"/>
      <c r="L65" s="36"/>
      <c r="M65" s="36"/>
      <c r="N65" s="35"/>
      <c r="O65" s="36"/>
      <c r="P65" s="36"/>
      <c r="Q65" s="36"/>
      <c r="R65" s="35"/>
      <c r="S65" s="36"/>
      <c r="T65" s="36"/>
      <c r="U65" s="36"/>
      <c r="V65" s="46"/>
      <c r="W65" s="110">
        <f t="shared" si="2"/>
        <v>0</v>
      </c>
    </row>
    <row r="66" spans="1:23" ht="148.5">
      <c r="A66" s="9" t="s">
        <v>22</v>
      </c>
      <c r="B66" s="26" t="s">
        <v>109</v>
      </c>
      <c r="C66" s="13">
        <v>811</v>
      </c>
      <c r="D66" s="14" t="s">
        <v>28</v>
      </c>
      <c r="E66" s="13" t="s">
        <v>110</v>
      </c>
      <c r="F66" s="35">
        <f>SUM(G66:H66)</f>
        <v>223067.6</v>
      </c>
      <c r="G66" s="36"/>
      <c r="H66" s="36">
        <v>223067.6</v>
      </c>
      <c r="I66" s="36"/>
      <c r="J66" s="35">
        <f>SUM(K66:L66)</f>
        <v>221480.8</v>
      </c>
      <c r="K66" s="36"/>
      <c r="L66" s="36">
        <f>169746.2+49995+1739.64</f>
        <v>221480.8</v>
      </c>
      <c r="M66" s="36"/>
      <c r="N66" s="35">
        <f>SUM(O66:P66)</f>
        <v>390904.5</v>
      </c>
      <c r="O66" s="36"/>
      <c r="P66" s="36">
        <v>390904.5</v>
      </c>
      <c r="Q66" s="36"/>
      <c r="R66" s="35">
        <f t="shared" ref="R66:R69" si="46">SUM(S66:U66)</f>
        <v>158618.79999999999</v>
      </c>
      <c r="S66" s="36"/>
      <c r="T66" s="36">
        <v>158618.79999999999</v>
      </c>
      <c r="U66" s="36"/>
      <c r="V66" s="46">
        <f>J66/F66</f>
        <v>0.99299999999999999</v>
      </c>
      <c r="W66" s="110">
        <f t="shared" si="2"/>
        <v>2.164E-2</v>
      </c>
    </row>
    <row r="67" spans="1:23" ht="66">
      <c r="A67" s="9" t="s">
        <v>32</v>
      </c>
      <c r="B67" s="26" t="s">
        <v>356</v>
      </c>
      <c r="C67" s="13">
        <v>821</v>
      </c>
      <c r="D67" s="14" t="s">
        <v>34</v>
      </c>
      <c r="E67" s="13" t="s">
        <v>111</v>
      </c>
      <c r="F67" s="35">
        <f>SUM(G67:H67)</f>
        <v>65986.2</v>
      </c>
      <c r="G67" s="36">
        <f>79709.2-68173.59</f>
        <v>11535.6</v>
      </c>
      <c r="H67" s="36">
        <f>306202-251751.4</f>
        <v>54450.6</v>
      </c>
      <c r="I67" s="36"/>
      <c r="J67" s="35">
        <f>SUM(K67:L67)</f>
        <v>65986.2</v>
      </c>
      <c r="K67" s="36">
        <v>11535.6</v>
      </c>
      <c r="L67" s="36">
        <v>54450.6</v>
      </c>
      <c r="M67" s="36"/>
      <c r="N67" s="35">
        <f>SUM(O67:P67)</f>
        <v>0</v>
      </c>
      <c r="O67" s="36"/>
      <c r="P67" s="36"/>
      <c r="Q67" s="36"/>
      <c r="R67" s="35">
        <f t="shared" si="46"/>
        <v>0</v>
      </c>
      <c r="S67" s="36"/>
      <c r="T67" s="36"/>
      <c r="U67" s="36"/>
      <c r="V67" s="46">
        <f>J67/F67</f>
        <v>1</v>
      </c>
      <c r="W67" s="110">
        <f t="shared" si="2"/>
        <v>6.4000000000000003E-3</v>
      </c>
    </row>
    <row r="68" spans="1:23" ht="82.5">
      <c r="A68" s="9" t="s">
        <v>32</v>
      </c>
      <c r="B68" s="26" t="s">
        <v>355</v>
      </c>
      <c r="C68" s="13">
        <v>821</v>
      </c>
      <c r="D68" s="14" t="s">
        <v>34</v>
      </c>
      <c r="E68" s="13" t="s">
        <v>357</v>
      </c>
      <c r="F68" s="35">
        <f>G68+H68</f>
        <v>319925</v>
      </c>
      <c r="G68" s="36">
        <v>68173.600000000006</v>
      </c>
      <c r="H68" s="36">
        <v>251751.4</v>
      </c>
      <c r="I68" s="36"/>
      <c r="J68" s="35"/>
      <c r="K68" s="36"/>
      <c r="L68" s="36"/>
      <c r="M68" s="36"/>
      <c r="N68" s="35">
        <f>O68+P68</f>
        <v>1159552.8</v>
      </c>
      <c r="O68" s="36">
        <v>202067.8</v>
      </c>
      <c r="P68" s="36">
        <v>957485</v>
      </c>
      <c r="Q68" s="36"/>
      <c r="R68" s="35">
        <f>S68+T68</f>
        <v>2414050.4</v>
      </c>
      <c r="S68" s="36">
        <v>499078.40000000002</v>
      </c>
      <c r="T68" s="36">
        <v>1914972</v>
      </c>
      <c r="U68" s="36"/>
      <c r="V68" s="46"/>
      <c r="W68" s="110">
        <f t="shared" si="2"/>
        <v>3.1040000000000002E-2</v>
      </c>
    </row>
    <row r="69" spans="1:23" ht="66">
      <c r="A69" s="9"/>
      <c r="B69" s="26" t="s">
        <v>112</v>
      </c>
      <c r="C69" s="13">
        <v>821</v>
      </c>
      <c r="D69" s="14" t="s">
        <v>34</v>
      </c>
      <c r="E69" s="13" t="s">
        <v>113</v>
      </c>
      <c r="F69" s="35">
        <f>SUM(G69:H69)</f>
        <v>0</v>
      </c>
      <c r="G69" s="36">
        <f>673-673</f>
        <v>0</v>
      </c>
      <c r="H69" s="36"/>
      <c r="I69" s="36"/>
      <c r="J69" s="35">
        <f>SUM(K69:L69)</f>
        <v>0</v>
      </c>
      <c r="K69" s="36"/>
      <c r="L69" s="36"/>
      <c r="M69" s="36"/>
      <c r="N69" s="35">
        <f>SUM(O69:P69)</f>
        <v>0</v>
      </c>
      <c r="O69" s="36">
        <f>1812.9-1812.9</f>
        <v>0</v>
      </c>
      <c r="P69" s="36"/>
      <c r="Q69" s="36"/>
      <c r="R69" s="35">
        <f t="shared" si="46"/>
        <v>0</v>
      </c>
      <c r="S69" s="36">
        <f>107.2-107.2</f>
        <v>0</v>
      </c>
      <c r="T69" s="36"/>
      <c r="U69" s="36"/>
      <c r="V69" s="46"/>
      <c r="W69" s="110">
        <f t="shared" si="2"/>
        <v>0</v>
      </c>
    </row>
    <row r="70" spans="1:23" ht="17.25">
      <c r="A70" s="1" t="s">
        <v>114</v>
      </c>
      <c r="B70" s="31" t="s">
        <v>115</v>
      </c>
      <c r="C70" s="2" t="s">
        <v>18</v>
      </c>
      <c r="D70" s="2" t="s">
        <v>18</v>
      </c>
      <c r="E70" s="2" t="s">
        <v>18</v>
      </c>
      <c r="F70" s="34">
        <f>F71+F79+F85+F92+F103+F105</f>
        <v>1519134</v>
      </c>
      <c r="G70" s="34">
        <f t="shared" ref="G70:U70" si="47">G71+G79+G85+G92+G103+G105</f>
        <v>817370</v>
      </c>
      <c r="H70" s="34">
        <f t="shared" si="47"/>
        <v>662910.19999999995</v>
      </c>
      <c r="I70" s="34">
        <f t="shared" si="47"/>
        <v>38853.800000000003</v>
      </c>
      <c r="J70" s="34">
        <f t="shared" si="47"/>
        <v>1336072.7</v>
      </c>
      <c r="K70" s="34">
        <f t="shared" si="47"/>
        <v>779718.4</v>
      </c>
      <c r="L70" s="34">
        <f t="shared" si="47"/>
        <v>519710.2</v>
      </c>
      <c r="M70" s="34">
        <f t="shared" si="47"/>
        <v>36644.1</v>
      </c>
      <c r="N70" s="34">
        <f t="shared" si="47"/>
        <v>1450138.1</v>
      </c>
      <c r="O70" s="34">
        <f t="shared" si="47"/>
        <v>1056266</v>
      </c>
      <c r="P70" s="34">
        <f t="shared" si="47"/>
        <v>393564.5</v>
      </c>
      <c r="Q70" s="34">
        <f t="shared" si="47"/>
        <v>307.60000000000002</v>
      </c>
      <c r="R70" s="34">
        <f t="shared" si="47"/>
        <v>755164.2</v>
      </c>
      <c r="S70" s="34">
        <f t="shared" si="47"/>
        <v>755164.2</v>
      </c>
      <c r="T70" s="34">
        <f t="shared" si="47"/>
        <v>0</v>
      </c>
      <c r="U70" s="34">
        <f t="shared" si="47"/>
        <v>0</v>
      </c>
      <c r="V70" s="44">
        <f>J70/F70</f>
        <v>0.879</v>
      </c>
      <c r="W70" s="110">
        <f t="shared" si="2"/>
        <v>0.14738000000000001</v>
      </c>
    </row>
    <row r="71" spans="1:23" ht="33">
      <c r="A71" s="9" t="s">
        <v>116</v>
      </c>
      <c r="B71" s="24" t="s">
        <v>117</v>
      </c>
      <c r="C71" s="12" t="s">
        <v>18</v>
      </c>
      <c r="D71" s="12" t="s">
        <v>18</v>
      </c>
      <c r="E71" s="12" t="s">
        <v>18</v>
      </c>
      <c r="F71" s="35">
        <f>SUM(F73:F78)</f>
        <v>1312099.8999999999</v>
      </c>
      <c r="G71" s="35">
        <f t="shared" ref="G71:U71" si="48">SUM(G73:G78)</f>
        <v>705896</v>
      </c>
      <c r="H71" s="35">
        <f t="shared" si="48"/>
        <v>567363.30000000005</v>
      </c>
      <c r="I71" s="35">
        <f t="shared" si="48"/>
        <v>38840.6</v>
      </c>
      <c r="J71" s="35">
        <f>SUM(J73:J78)</f>
        <v>1179276.3</v>
      </c>
      <c r="K71" s="35">
        <f t="shared" si="48"/>
        <v>693577.3</v>
      </c>
      <c r="L71" s="35">
        <f>SUM(L73:L78)</f>
        <v>449068.1</v>
      </c>
      <c r="M71" s="35">
        <f>SUM(M73:M78)</f>
        <v>36630.9</v>
      </c>
      <c r="N71" s="35">
        <f>SUM(N73:N78)</f>
        <v>1389018.1</v>
      </c>
      <c r="O71" s="35">
        <f t="shared" si="48"/>
        <v>995146</v>
      </c>
      <c r="P71" s="35">
        <f t="shared" si="48"/>
        <v>393564.5</v>
      </c>
      <c r="Q71" s="35">
        <f t="shared" si="48"/>
        <v>307.60000000000002</v>
      </c>
      <c r="R71" s="35">
        <f t="shared" si="48"/>
        <v>687844.2</v>
      </c>
      <c r="S71" s="35">
        <f t="shared" si="48"/>
        <v>687844.2</v>
      </c>
      <c r="T71" s="35">
        <f t="shared" si="48"/>
        <v>0</v>
      </c>
      <c r="U71" s="35">
        <f t="shared" si="48"/>
        <v>0</v>
      </c>
      <c r="V71" s="45">
        <f>J71/F71</f>
        <v>0.89900000000000002</v>
      </c>
      <c r="W71" s="110">
        <f t="shared" si="2"/>
        <v>0.1273</v>
      </c>
    </row>
    <row r="72" spans="1:23" ht="17.25">
      <c r="A72" s="11"/>
      <c r="B72" s="25" t="s">
        <v>21</v>
      </c>
      <c r="C72" s="13"/>
      <c r="D72" s="13"/>
      <c r="E72" s="13"/>
      <c r="F72" s="35"/>
      <c r="G72" s="36"/>
      <c r="H72" s="36"/>
      <c r="I72" s="36"/>
      <c r="J72" s="35"/>
      <c r="K72" s="36"/>
      <c r="L72" s="36"/>
      <c r="M72" s="36"/>
      <c r="N72" s="35"/>
      <c r="O72" s="36"/>
      <c r="P72" s="36"/>
      <c r="Q72" s="36"/>
      <c r="R72" s="35"/>
      <c r="S72" s="36"/>
      <c r="T72" s="36"/>
      <c r="U72" s="36"/>
      <c r="V72" s="46"/>
      <c r="W72" s="110">
        <f t="shared" si="2"/>
        <v>0</v>
      </c>
    </row>
    <row r="73" spans="1:23" ht="66">
      <c r="A73" s="11" t="s">
        <v>32</v>
      </c>
      <c r="B73" s="26" t="s">
        <v>118</v>
      </c>
      <c r="C73" s="13">
        <v>815</v>
      </c>
      <c r="D73" s="14" t="s">
        <v>119</v>
      </c>
      <c r="E73" s="19" t="s">
        <v>120</v>
      </c>
      <c r="F73" s="35">
        <f t="shared" ref="F73:F77" si="49">SUM(G73:H73)</f>
        <v>46409.3</v>
      </c>
      <c r="G73" s="36">
        <v>1392.3</v>
      </c>
      <c r="H73" s="36">
        <v>45017</v>
      </c>
      <c r="I73" s="36"/>
      <c r="J73" s="35">
        <f t="shared" ref="J73:J77" si="50">SUM(K73:L73)</f>
        <v>23736.7</v>
      </c>
      <c r="K73" s="36">
        <f>362+1.84+16.33+88.25+187.42+56.2</f>
        <v>712</v>
      </c>
      <c r="L73" s="36">
        <f>11706.6+59.63+528.07+2853.36+6059.97+1817.11</f>
        <v>23024.7</v>
      </c>
      <c r="M73" s="36"/>
      <c r="N73" s="35">
        <f t="shared" ref="N73:N78" si="51">SUM(O73:P73)</f>
        <v>0</v>
      </c>
      <c r="O73" s="36"/>
      <c r="P73" s="36"/>
      <c r="Q73" s="36"/>
      <c r="R73" s="35">
        <f>SUM(S73:U73)</f>
        <v>0</v>
      </c>
      <c r="S73" s="36"/>
      <c r="T73" s="36"/>
      <c r="U73" s="36"/>
      <c r="V73" s="46">
        <f>J73/F73</f>
        <v>0.51100000000000001</v>
      </c>
      <c r="W73" s="110">
        <f t="shared" ref="W73:W136" si="52">F73/$F$8</f>
        <v>4.4999999999999997E-3</v>
      </c>
    </row>
    <row r="74" spans="1:23" ht="82.5">
      <c r="A74" s="11" t="s">
        <v>32</v>
      </c>
      <c r="B74" s="26" t="s">
        <v>359</v>
      </c>
      <c r="C74" s="13">
        <v>821</v>
      </c>
      <c r="D74" s="14" t="s">
        <v>34</v>
      </c>
      <c r="E74" s="19" t="s">
        <v>121</v>
      </c>
      <c r="F74" s="35">
        <f>SUM(G74:H74)+I74</f>
        <v>99539.4</v>
      </c>
      <c r="G74" s="36">
        <v>2978.4</v>
      </c>
      <c r="H74" s="36">
        <v>96302.9</v>
      </c>
      <c r="I74" s="36">
        <v>258.10000000000002</v>
      </c>
      <c r="J74" s="35">
        <f t="shared" si="50"/>
        <v>0</v>
      </c>
      <c r="K74" s="36"/>
      <c r="L74" s="36"/>
      <c r="M74" s="36"/>
      <c r="N74" s="35">
        <f t="shared" si="51"/>
        <v>307301.8</v>
      </c>
      <c r="O74" s="36">
        <v>307301.8</v>
      </c>
      <c r="P74" s="36"/>
      <c r="Q74" s="36"/>
      <c r="R74" s="35">
        <f t="shared" ref="R74:R78" si="53">SUM(S74:U74)</f>
        <v>0</v>
      </c>
      <c r="S74" s="36"/>
      <c r="T74" s="36"/>
      <c r="U74" s="36"/>
      <c r="V74" s="46">
        <f>J74/F74</f>
        <v>0</v>
      </c>
      <c r="W74" s="110">
        <f t="shared" si="52"/>
        <v>9.6600000000000002E-3</v>
      </c>
    </row>
    <row r="75" spans="1:23" ht="82.5">
      <c r="A75" s="11"/>
      <c r="B75" s="26" t="s">
        <v>122</v>
      </c>
      <c r="C75" s="13">
        <v>815</v>
      </c>
      <c r="D75" s="14" t="s">
        <v>119</v>
      </c>
      <c r="E75" s="19" t="s">
        <v>121</v>
      </c>
      <c r="F75" s="35">
        <f t="shared" si="49"/>
        <v>8660</v>
      </c>
      <c r="G75" s="36">
        <v>8660</v>
      </c>
      <c r="H75" s="36"/>
      <c r="I75" s="36"/>
      <c r="J75" s="35">
        <f t="shared" si="50"/>
        <v>0</v>
      </c>
      <c r="K75" s="36"/>
      <c r="L75" s="36"/>
      <c r="M75" s="36"/>
      <c r="N75" s="35">
        <f>SUM(O75:P75)+Q75</f>
        <v>307.60000000000002</v>
      </c>
      <c r="O75" s="36"/>
      <c r="P75" s="36"/>
      <c r="Q75" s="36">
        <v>307.60000000000002</v>
      </c>
      <c r="R75" s="35">
        <f t="shared" si="53"/>
        <v>0</v>
      </c>
      <c r="S75" s="36"/>
      <c r="T75" s="36"/>
      <c r="U75" s="36"/>
      <c r="V75" s="46">
        <f>J75/F75</f>
        <v>0</v>
      </c>
      <c r="W75" s="110">
        <f t="shared" si="52"/>
        <v>8.4000000000000003E-4</v>
      </c>
    </row>
    <row r="76" spans="1:23" ht="99">
      <c r="A76" s="11" t="s">
        <v>32</v>
      </c>
      <c r="B76" s="26" t="s">
        <v>123</v>
      </c>
      <c r="C76" s="13">
        <v>821</v>
      </c>
      <c r="D76" s="14" t="s">
        <v>34</v>
      </c>
      <c r="E76" s="19" t="s">
        <v>124</v>
      </c>
      <c r="F76" s="35">
        <f>G76+H76+I76</f>
        <v>1082491.2</v>
      </c>
      <c r="G76" s="36">
        <v>655365.30000000005</v>
      </c>
      <c r="H76" s="36">
        <v>426043.4</v>
      </c>
      <c r="I76" s="36">
        <v>1082.5</v>
      </c>
      <c r="J76" s="35">
        <f>SUM(K76:L76)+M76</f>
        <v>1082491.2</v>
      </c>
      <c r="K76" s="36">
        <v>655365.30000000005</v>
      </c>
      <c r="L76" s="36">
        <v>426043.4</v>
      </c>
      <c r="M76" s="36">
        <v>1082.5</v>
      </c>
      <c r="N76" s="35">
        <f t="shared" si="51"/>
        <v>1081408.7</v>
      </c>
      <c r="O76" s="36">
        <v>687844.2</v>
      </c>
      <c r="P76" s="36">
        <v>393564.5</v>
      </c>
      <c r="Q76" s="36"/>
      <c r="R76" s="35">
        <f t="shared" si="53"/>
        <v>0</v>
      </c>
      <c r="S76" s="36">
        <f>687844.2-687844.2</f>
        <v>0</v>
      </c>
      <c r="T76" s="36"/>
      <c r="U76" s="36"/>
      <c r="V76" s="46">
        <f>J76/F76</f>
        <v>1</v>
      </c>
      <c r="W76" s="110">
        <f t="shared" si="52"/>
        <v>0.10502</v>
      </c>
    </row>
    <row r="77" spans="1:23" ht="66">
      <c r="A77" s="11"/>
      <c r="B77" s="26" t="s">
        <v>338</v>
      </c>
      <c r="C77" s="13">
        <v>821</v>
      </c>
      <c r="D77" s="14" t="s">
        <v>34</v>
      </c>
      <c r="E77" s="19" t="s">
        <v>339</v>
      </c>
      <c r="F77" s="35">
        <f t="shared" si="49"/>
        <v>0</v>
      </c>
      <c r="G77" s="36"/>
      <c r="H77" s="36"/>
      <c r="I77" s="36"/>
      <c r="J77" s="35">
        <f t="shared" si="50"/>
        <v>0</v>
      </c>
      <c r="K77" s="36"/>
      <c r="L77" s="36"/>
      <c r="M77" s="36"/>
      <c r="N77" s="35">
        <f t="shared" si="51"/>
        <v>0</v>
      </c>
      <c r="O77" s="36"/>
      <c r="P77" s="36"/>
      <c r="Q77" s="36"/>
      <c r="R77" s="35">
        <f t="shared" si="53"/>
        <v>687844.2</v>
      </c>
      <c r="S77" s="36">
        <v>687844.2</v>
      </c>
      <c r="T77" s="36"/>
      <c r="U77" s="36"/>
      <c r="V77" s="46"/>
      <c r="W77" s="110">
        <f t="shared" si="52"/>
        <v>0</v>
      </c>
    </row>
    <row r="78" spans="1:23" ht="66">
      <c r="A78" s="11"/>
      <c r="B78" s="26" t="s">
        <v>125</v>
      </c>
      <c r="C78" s="13">
        <v>815</v>
      </c>
      <c r="D78" s="14" t="s">
        <v>119</v>
      </c>
      <c r="E78" s="19" t="s">
        <v>126</v>
      </c>
      <c r="F78" s="35">
        <f>G78+H78+I78</f>
        <v>75000</v>
      </c>
      <c r="G78" s="36">
        <v>37500</v>
      </c>
      <c r="H78" s="36"/>
      <c r="I78" s="36">
        <v>37500</v>
      </c>
      <c r="J78" s="35">
        <f>SUM(K78:L78)+M78</f>
        <v>73048.399999999994</v>
      </c>
      <c r="K78" s="36">
        <v>37500</v>
      </c>
      <c r="L78" s="36"/>
      <c r="M78" s="36">
        <v>35548.400000000001</v>
      </c>
      <c r="N78" s="35">
        <f t="shared" si="51"/>
        <v>0</v>
      </c>
      <c r="O78" s="36"/>
      <c r="P78" s="36"/>
      <c r="Q78" s="36"/>
      <c r="R78" s="35">
        <f t="shared" si="53"/>
        <v>0</v>
      </c>
      <c r="S78" s="36"/>
      <c r="T78" s="36"/>
      <c r="U78" s="36"/>
      <c r="V78" s="46">
        <f>J78/F78</f>
        <v>0.97399999999999998</v>
      </c>
      <c r="W78" s="110">
        <f t="shared" si="52"/>
        <v>7.28E-3</v>
      </c>
    </row>
    <row r="79" spans="1:23" ht="33">
      <c r="A79" s="9" t="s">
        <v>127</v>
      </c>
      <c r="B79" s="24" t="s">
        <v>128</v>
      </c>
      <c r="C79" s="12" t="s">
        <v>18</v>
      </c>
      <c r="D79" s="12" t="s">
        <v>18</v>
      </c>
      <c r="E79" s="12" t="s">
        <v>18</v>
      </c>
      <c r="F79" s="35">
        <f>SUM(F81:F84)</f>
        <v>37934.6</v>
      </c>
      <c r="G79" s="35">
        <f t="shared" ref="G79:U79" si="54">SUM(G81:G84)</f>
        <v>7443</v>
      </c>
      <c r="H79" s="35">
        <f t="shared" si="54"/>
        <v>30491.599999999999</v>
      </c>
      <c r="I79" s="35">
        <f t="shared" si="54"/>
        <v>0</v>
      </c>
      <c r="J79" s="35">
        <f t="shared" si="54"/>
        <v>12719.7</v>
      </c>
      <c r="K79" s="35">
        <f t="shared" si="54"/>
        <v>6137.7</v>
      </c>
      <c r="L79" s="35">
        <f t="shared" si="54"/>
        <v>6582</v>
      </c>
      <c r="M79" s="35">
        <f>SUM(M81:M84)</f>
        <v>0</v>
      </c>
      <c r="N79" s="35">
        <f>SUM(N81:N84)</f>
        <v>0</v>
      </c>
      <c r="O79" s="35">
        <f t="shared" si="54"/>
        <v>0</v>
      </c>
      <c r="P79" s="35">
        <f t="shared" si="54"/>
        <v>0</v>
      </c>
      <c r="Q79" s="35">
        <f t="shared" si="54"/>
        <v>0</v>
      </c>
      <c r="R79" s="35">
        <f>SUM(R81:R84)</f>
        <v>0</v>
      </c>
      <c r="S79" s="35">
        <f t="shared" si="54"/>
        <v>0</v>
      </c>
      <c r="T79" s="35">
        <f t="shared" si="54"/>
        <v>0</v>
      </c>
      <c r="U79" s="35">
        <f t="shared" si="54"/>
        <v>0</v>
      </c>
      <c r="V79" s="45">
        <f>J79/F79</f>
        <v>0.33500000000000002</v>
      </c>
      <c r="W79" s="110">
        <f t="shared" si="52"/>
        <v>3.6800000000000001E-3</v>
      </c>
    </row>
    <row r="80" spans="1:23" ht="17.25">
      <c r="A80" s="11"/>
      <c r="B80" s="25" t="s">
        <v>21</v>
      </c>
      <c r="C80" s="13"/>
      <c r="D80" s="13"/>
      <c r="E80" s="13"/>
      <c r="F80" s="35"/>
      <c r="G80" s="36"/>
      <c r="H80" s="36"/>
      <c r="I80" s="36"/>
      <c r="J80" s="35"/>
      <c r="K80" s="36"/>
      <c r="L80" s="36"/>
      <c r="M80" s="36"/>
      <c r="N80" s="35"/>
      <c r="O80" s="36"/>
      <c r="P80" s="36"/>
      <c r="Q80" s="36"/>
      <c r="R80" s="35"/>
      <c r="S80" s="36"/>
      <c r="T80" s="36"/>
      <c r="U80" s="36"/>
      <c r="V80" s="46"/>
      <c r="W80" s="110">
        <f t="shared" si="52"/>
        <v>0</v>
      </c>
    </row>
    <row r="81" spans="1:23" ht="82.5">
      <c r="A81" s="11" t="s">
        <v>32</v>
      </c>
      <c r="B81" s="26" t="s">
        <v>129</v>
      </c>
      <c r="C81" s="13">
        <v>815</v>
      </c>
      <c r="D81" s="14" t="s">
        <v>119</v>
      </c>
      <c r="E81" s="19" t="s">
        <v>130</v>
      </c>
      <c r="F81" s="35">
        <f>SUM(G81:H81)</f>
        <v>27001.7</v>
      </c>
      <c r="G81" s="36">
        <v>810.1</v>
      </c>
      <c r="H81" s="36">
        <v>26191.599999999999</v>
      </c>
      <c r="I81" s="36"/>
      <c r="J81" s="35">
        <f>SUM(K81:L81)</f>
        <v>2352.6</v>
      </c>
      <c r="K81" s="36">
        <f>14.1+56.46</f>
        <v>70.599999999999994</v>
      </c>
      <c r="L81" s="36">
        <f>456.5+1825.49</f>
        <v>2282</v>
      </c>
      <c r="M81" s="36"/>
      <c r="N81" s="35">
        <f>SUM(O81:P81)</f>
        <v>0</v>
      </c>
      <c r="O81" s="36"/>
      <c r="P81" s="36"/>
      <c r="Q81" s="36"/>
      <c r="R81" s="35">
        <f t="shared" ref="R81:R84" si="55">SUM(S81:U81)</f>
        <v>0</v>
      </c>
      <c r="S81" s="36"/>
      <c r="T81" s="36"/>
      <c r="U81" s="36"/>
      <c r="V81" s="46">
        <f>J81/F81</f>
        <v>8.6999999999999994E-2</v>
      </c>
      <c r="W81" s="110">
        <f t="shared" si="52"/>
        <v>2.6199999999999999E-3</v>
      </c>
    </row>
    <row r="82" spans="1:23" ht="82.5">
      <c r="A82" s="11" t="s">
        <v>32</v>
      </c>
      <c r="B82" s="26" t="s">
        <v>129</v>
      </c>
      <c r="C82" s="13">
        <v>816</v>
      </c>
      <c r="D82" s="14" t="s">
        <v>131</v>
      </c>
      <c r="E82" s="19" t="s">
        <v>132</v>
      </c>
      <c r="F82" s="35">
        <f>SUM(G82:H82)</f>
        <v>4433</v>
      </c>
      <c r="G82" s="36">
        <v>133</v>
      </c>
      <c r="H82" s="36">
        <v>4300</v>
      </c>
      <c r="I82" s="36"/>
      <c r="J82" s="35">
        <f>SUM(K82:L82)</f>
        <v>4433</v>
      </c>
      <c r="K82" s="36">
        <v>133</v>
      </c>
      <c r="L82" s="36">
        <v>4300</v>
      </c>
      <c r="M82" s="36"/>
      <c r="N82" s="35">
        <f>SUM(O82:P82)</f>
        <v>0</v>
      </c>
      <c r="O82" s="36"/>
      <c r="P82" s="36"/>
      <c r="Q82" s="36"/>
      <c r="R82" s="35">
        <f t="shared" si="55"/>
        <v>0</v>
      </c>
      <c r="S82" s="36"/>
      <c r="T82" s="36"/>
      <c r="U82" s="36"/>
      <c r="V82" s="46">
        <f>J82/F82</f>
        <v>1</v>
      </c>
      <c r="W82" s="110">
        <f t="shared" si="52"/>
        <v>4.2999999999999999E-4</v>
      </c>
    </row>
    <row r="83" spans="1:23" ht="66">
      <c r="A83" s="11"/>
      <c r="B83" s="26" t="s">
        <v>133</v>
      </c>
      <c r="C83" s="13">
        <v>815</v>
      </c>
      <c r="D83" s="14" t="s">
        <v>119</v>
      </c>
      <c r="E83" s="11" t="s">
        <v>134</v>
      </c>
      <c r="F83" s="35">
        <f>SUM(G83:H83)</f>
        <v>6249.9</v>
      </c>
      <c r="G83" s="36">
        <v>6249.9</v>
      </c>
      <c r="H83" s="36"/>
      <c r="I83" s="36"/>
      <c r="J83" s="35">
        <f>SUM(K83:L83)</f>
        <v>5729.1</v>
      </c>
      <c r="K83" s="36">
        <v>5729.1</v>
      </c>
      <c r="L83" s="36"/>
      <c r="M83" s="36"/>
      <c r="N83" s="35">
        <f>SUM(O83:P83)</f>
        <v>0</v>
      </c>
      <c r="O83" s="36"/>
      <c r="P83" s="36"/>
      <c r="Q83" s="36"/>
      <c r="R83" s="35">
        <f t="shared" si="55"/>
        <v>0</v>
      </c>
      <c r="S83" s="36"/>
      <c r="T83" s="36"/>
      <c r="U83" s="36"/>
      <c r="V83" s="46">
        <f>J83/F83</f>
        <v>0.91700000000000004</v>
      </c>
      <c r="W83" s="110">
        <f t="shared" si="52"/>
        <v>6.0999999999999997E-4</v>
      </c>
    </row>
    <row r="84" spans="1:23" ht="66">
      <c r="A84" s="11"/>
      <c r="B84" s="26" t="s">
        <v>135</v>
      </c>
      <c r="C84" s="13">
        <v>816</v>
      </c>
      <c r="D84" s="14" t="s">
        <v>131</v>
      </c>
      <c r="E84" s="19" t="s">
        <v>136</v>
      </c>
      <c r="F84" s="35">
        <f>SUM(G84:H84)</f>
        <v>250</v>
      </c>
      <c r="G84" s="36">
        <v>250</v>
      </c>
      <c r="H84" s="36"/>
      <c r="I84" s="36"/>
      <c r="J84" s="35">
        <f>SUM(K84:L84)</f>
        <v>205</v>
      </c>
      <c r="K84" s="36">
        <v>205</v>
      </c>
      <c r="L84" s="36"/>
      <c r="M84" s="36"/>
      <c r="N84" s="35">
        <f>SUM(O84:P84)</f>
        <v>0</v>
      </c>
      <c r="O84" s="36"/>
      <c r="P84" s="36"/>
      <c r="Q84" s="36"/>
      <c r="R84" s="35">
        <f t="shared" si="55"/>
        <v>0</v>
      </c>
      <c r="S84" s="36"/>
      <c r="T84" s="36"/>
      <c r="U84" s="36"/>
      <c r="V84" s="46">
        <f>J84/F84</f>
        <v>0.82</v>
      </c>
      <c r="W84" s="110">
        <f t="shared" si="52"/>
        <v>2.0000000000000002E-5</v>
      </c>
    </row>
    <row r="85" spans="1:23" ht="33">
      <c r="A85" s="9" t="s">
        <v>137</v>
      </c>
      <c r="B85" s="24" t="s">
        <v>138</v>
      </c>
      <c r="C85" s="12" t="s">
        <v>18</v>
      </c>
      <c r="D85" s="12" t="s">
        <v>18</v>
      </c>
      <c r="E85" s="12" t="s">
        <v>18</v>
      </c>
      <c r="F85" s="35">
        <f>SUM(F87:F91)</f>
        <v>94449.600000000006</v>
      </c>
      <c r="G85" s="35">
        <f t="shared" ref="G85:U85" si="56">SUM(G87:G91)</f>
        <v>83475.7</v>
      </c>
      <c r="H85" s="35">
        <f t="shared" si="56"/>
        <v>10960.7</v>
      </c>
      <c r="I85" s="35">
        <f t="shared" si="56"/>
        <v>13.2</v>
      </c>
      <c r="J85" s="35">
        <f t="shared" si="56"/>
        <v>73152.3</v>
      </c>
      <c r="K85" s="35">
        <f t="shared" si="56"/>
        <v>62178.400000000001</v>
      </c>
      <c r="L85" s="35">
        <f t="shared" si="56"/>
        <v>10960.7</v>
      </c>
      <c r="M85" s="35">
        <f>SUM(M87:M91)</f>
        <v>13.2</v>
      </c>
      <c r="N85" s="35">
        <f>SUM(N87:N91)</f>
        <v>0</v>
      </c>
      <c r="O85" s="35">
        <f t="shared" si="56"/>
        <v>0</v>
      </c>
      <c r="P85" s="35">
        <f t="shared" si="56"/>
        <v>0</v>
      </c>
      <c r="Q85" s="35">
        <f t="shared" si="56"/>
        <v>0</v>
      </c>
      <c r="R85" s="35">
        <f>SUM(R87:R91)</f>
        <v>0</v>
      </c>
      <c r="S85" s="35">
        <f t="shared" si="56"/>
        <v>0</v>
      </c>
      <c r="T85" s="35">
        <f t="shared" si="56"/>
        <v>0</v>
      </c>
      <c r="U85" s="35">
        <f t="shared" si="56"/>
        <v>0</v>
      </c>
      <c r="V85" s="45">
        <f>J85/F85</f>
        <v>0.77500000000000002</v>
      </c>
      <c r="W85" s="110">
        <f t="shared" si="52"/>
        <v>9.1599999999999997E-3</v>
      </c>
    </row>
    <row r="86" spans="1:23" ht="17.25">
      <c r="A86" s="11"/>
      <c r="B86" s="25" t="s">
        <v>21</v>
      </c>
      <c r="C86" s="13"/>
      <c r="D86" s="13"/>
      <c r="E86" s="13"/>
      <c r="F86" s="35"/>
      <c r="G86" s="36"/>
      <c r="H86" s="36"/>
      <c r="I86" s="36"/>
      <c r="J86" s="35"/>
      <c r="K86" s="36"/>
      <c r="L86" s="36"/>
      <c r="M86" s="36"/>
      <c r="N86" s="35"/>
      <c r="O86" s="36"/>
      <c r="P86" s="36"/>
      <c r="Q86" s="36"/>
      <c r="R86" s="35"/>
      <c r="S86" s="36"/>
      <c r="T86" s="36"/>
      <c r="U86" s="36"/>
      <c r="V86" s="46"/>
      <c r="W86" s="110">
        <f t="shared" si="52"/>
        <v>0</v>
      </c>
    </row>
    <row r="87" spans="1:23" ht="66">
      <c r="A87" s="11" t="s">
        <v>32</v>
      </c>
      <c r="B87" s="26" t="s">
        <v>139</v>
      </c>
      <c r="C87" s="13">
        <v>821</v>
      </c>
      <c r="D87" s="14" t="s">
        <v>34</v>
      </c>
      <c r="E87" s="19" t="s">
        <v>140</v>
      </c>
      <c r="F87" s="35">
        <f>G87+H87+I87</f>
        <v>13244.6</v>
      </c>
      <c r="G87" s="36">
        <v>2270.6999999999998</v>
      </c>
      <c r="H87" s="36">
        <v>10960.7</v>
      </c>
      <c r="I87" s="36">
        <v>13.2</v>
      </c>
      <c r="J87" s="35">
        <f>SUM(K87:L87)+M87</f>
        <v>13244.6</v>
      </c>
      <c r="K87" s="36">
        <f>1026.9+247.55+996.26</f>
        <v>2270.6999999999998</v>
      </c>
      <c r="L87" s="36">
        <f>4956.8+1194.91+4808.94</f>
        <v>10960.7</v>
      </c>
      <c r="M87" s="36">
        <v>13.2</v>
      </c>
      <c r="N87" s="35">
        <f>SUM(O87:P87)</f>
        <v>0</v>
      </c>
      <c r="O87" s="36"/>
      <c r="P87" s="36"/>
      <c r="Q87" s="36"/>
      <c r="R87" s="35">
        <f t="shared" ref="R87:R91" si="57">SUM(S87:U87)</f>
        <v>0</v>
      </c>
      <c r="S87" s="36"/>
      <c r="T87" s="36"/>
      <c r="U87" s="36"/>
      <c r="V87" s="46">
        <f t="shared" ref="V87:V92" si="58">J87/F87</f>
        <v>1</v>
      </c>
      <c r="W87" s="110">
        <f t="shared" si="52"/>
        <v>1.2800000000000001E-3</v>
      </c>
    </row>
    <row r="88" spans="1:23" ht="66">
      <c r="A88" s="11"/>
      <c r="B88" s="26" t="s">
        <v>141</v>
      </c>
      <c r="C88" s="13">
        <v>815</v>
      </c>
      <c r="D88" s="14" t="s">
        <v>119</v>
      </c>
      <c r="E88" s="19" t="s">
        <v>142</v>
      </c>
      <c r="F88" s="35">
        <f>SUM(G88:H88)</f>
        <v>30000</v>
      </c>
      <c r="G88" s="36">
        <v>30000</v>
      </c>
      <c r="H88" s="36"/>
      <c r="I88" s="36"/>
      <c r="J88" s="35">
        <f>SUM(K88:L88)</f>
        <v>17958.5</v>
      </c>
      <c r="K88" s="36">
        <f>13632.1+168.73+797.33+2201.23+1159.06</f>
        <v>17958.5</v>
      </c>
      <c r="L88" s="36"/>
      <c r="M88" s="36"/>
      <c r="N88" s="35">
        <f>SUM(O88:P88)</f>
        <v>0</v>
      </c>
      <c r="O88" s="36"/>
      <c r="P88" s="36"/>
      <c r="Q88" s="36"/>
      <c r="R88" s="35">
        <f t="shared" si="57"/>
        <v>0</v>
      </c>
      <c r="S88" s="36"/>
      <c r="T88" s="36"/>
      <c r="U88" s="36"/>
      <c r="V88" s="46">
        <f t="shared" si="58"/>
        <v>0.59899999999999998</v>
      </c>
      <c r="W88" s="110">
        <f t="shared" si="52"/>
        <v>2.9099999999999998E-3</v>
      </c>
    </row>
    <row r="89" spans="1:23" ht="82.5">
      <c r="A89" s="11"/>
      <c r="B89" s="26" t="s">
        <v>143</v>
      </c>
      <c r="C89" s="13">
        <v>815</v>
      </c>
      <c r="D89" s="14" t="s">
        <v>119</v>
      </c>
      <c r="E89" s="11" t="s">
        <v>144</v>
      </c>
      <c r="F89" s="35">
        <f>SUM(G89:H89)</f>
        <v>35464.5</v>
      </c>
      <c r="G89" s="36">
        <v>35464.5</v>
      </c>
      <c r="H89" s="36"/>
      <c r="I89" s="36"/>
      <c r="J89" s="35">
        <f>SUM(K89:L89)</f>
        <v>29673.9</v>
      </c>
      <c r="K89" s="36">
        <f>26224.6+948.32+176.42+183.04+2141.55</f>
        <v>29673.9</v>
      </c>
      <c r="L89" s="36"/>
      <c r="M89" s="36"/>
      <c r="N89" s="35">
        <f>SUM(O89:P89)</f>
        <v>0</v>
      </c>
      <c r="O89" s="36"/>
      <c r="P89" s="36"/>
      <c r="Q89" s="36"/>
      <c r="R89" s="35">
        <f t="shared" si="57"/>
        <v>0</v>
      </c>
      <c r="S89" s="36"/>
      <c r="T89" s="36"/>
      <c r="U89" s="36"/>
      <c r="V89" s="46">
        <f t="shared" si="58"/>
        <v>0.83699999999999997</v>
      </c>
      <c r="W89" s="110">
        <f t="shared" si="52"/>
        <v>3.4399999999999999E-3</v>
      </c>
    </row>
    <row r="90" spans="1:23" ht="66">
      <c r="A90" s="11"/>
      <c r="B90" s="26" t="s">
        <v>145</v>
      </c>
      <c r="C90" s="13">
        <v>815</v>
      </c>
      <c r="D90" s="14" t="s">
        <v>119</v>
      </c>
      <c r="E90" s="11" t="s">
        <v>146</v>
      </c>
      <c r="F90" s="35">
        <f>SUM(G90:H90)</f>
        <v>10720</v>
      </c>
      <c r="G90" s="36">
        <v>10720</v>
      </c>
      <c r="H90" s="36"/>
      <c r="I90" s="36"/>
      <c r="J90" s="35">
        <f>SUM(K90:L90)</f>
        <v>7260.2</v>
      </c>
      <c r="K90" s="36">
        <v>7260.2</v>
      </c>
      <c r="L90" s="36"/>
      <c r="M90" s="36"/>
      <c r="N90" s="35">
        <f>SUM(O90:P90)</f>
        <v>0</v>
      </c>
      <c r="O90" s="36"/>
      <c r="P90" s="36"/>
      <c r="Q90" s="36"/>
      <c r="R90" s="35">
        <f t="shared" si="57"/>
        <v>0</v>
      </c>
      <c r="S90" s="36"/>
      <c r="T90" s="36"/>
      <c r="U90" s="36"/>
      <c r="V90" s="46">
        <f t="shared" si="58"/>
        <v>0.67700000000000005</v>
      </c>
      <c r="W90" s="110">
        <f t="shared" si="52"/>
        <v>1.0399999999999999E-3</v>
      </c>
    </row>
    <row r="91" spans="1:23" ht="66">
      <c r="A91" s="11"/>
      <c r="B91" s="26" t="s">
        <v>147</v>
      </c>
      <c r="C91" s="13">
        <v>815</v>
      </c>
      <c r="D91" s="14" t="s">
        <v>119</v>
      </c>
      <c r="E91" s="11" t="s">
        <v>148</v>
      </c>
      <c r="F91" s="35">
        <f>SUM(G91:H91)</f>
        <v>5020.5</v>
      </c>
      <c r="G91" s="36">
        <v>5020.5</v>
      </c>
      <c r="H91" s="36"/>
      <c r="I91" s="36"/>
      <c r="J91" s="35">
        <f>SUM(K91:L91)</f>
        <v>5015.1000000000004</v>
      </c>
      <c r="K91" s="36">
        <v>5015.1000000000004</v>
      </c>
      <c r="L91" s="36"/>
      <c r="M91" s="36"/>
      <c r="N91" s="35">
        <f>SUM(O91:P91)</f>
        <v>0</v>
      </c>
      <c r="O91" s="36"/>
      <c r="P91" s="36"/>
      <c r="Q91" s="36"/>
      <c r="R91" s="35">
        <f t="shared" si="57"/>
        <v>0</v>
      </c>
      <c r="S91" s="36"/>
      <c r="T91" s="36"/>
      <c r="U91" s="36"/>
      <c r="V91" s="46">
        <f t="shared" si="58"/>
        <v>0.999</v>
      </c>
      <c r="W91" s="110">
        <f t="shared" si="52"/>
        <v>4.8999999999999998E-4</v>
      </c>
    </row>
    <row r="92" spans="1:23" ht="66">
      <c r="A92" s="9" t="s">
        <v>149</v>
      </c>
      <c r="B92" s="24" t="s">
        <v>150</v>
      </c>
      <c r="C92" s="12" t="s">
        <v>18</v>
      </c>
      <c r="D92" s="12" t="s">
        <v>18</v>
      </c>
      <c r="E92" s="12" t="s">
        <v>18</v>
      </c>
      <c r="F92" s="35">
        <f>F94+F95+F96+F97+F98+F99+F100+F101+F102</f>
        <v>73344.7</v>
      </c>
      <c r="G92" s="35">
        <f t="shared" ref="G92:U92" si="59">G94+G95+G96+G97+G98+G99+G100+G101+G102</f>
        <v>19250.099999999999</v>
      </c>
      <c r="H92" s="35">
        <f t="shared" si="59"/>
        <v>54094.6</v>
      </c>
      <c r="I92" s="35">
        <f t="shared" si="59"/>
        <v>0</v>
      </c>
      <c r="J92" s="35">
        <f t="shared" si="59"/>
        <v>70106.7</v>
      </c>
      <c r="K92" s="35">
        <f t="shared" si="59"/>
        <v>17007.3</v>
      </c>
      <c r="L92" s="35">
        <f t="shared" si="59"/>
        <v>53099.4</v>
      </c>
      <c r="M92" s="35">
        <f>SUM(M94:M102)</f>
        <v>0</v>
      </c>
      <c r="N92" s="35">
        <f>N94+N95+N96+N97+N98+N99+N100+N101+N102</f>
        <v>61120</v>
      </c>
      <c r="O92" s="35">
        <f t="shared" si="59"/>
        <v>61120</v>
      </c>
      <c r="P92" s="35">
        <f t="shared" si="59"/>
        <v>0</v>
      </c>
      <c r="Q92" s="35">
        <f t="shared" si="59"/>
        <v>0</v>
      </c>
      <c r="R92" s="35">
        <f>R94+R95+R96+R97+R98+R99+R100+R101+R102</f>
        <v>67320</v>
      </c>
      <c r="S92" s="35">
        <f t="shared" si="59"/>
        <v>67320</v>
      </c>
      <c r="T92" s="35">
        <f t="shared" si="59"/>
        <v>0</v>
      </c>
      <c r="U92" s="35">
        <f t="shared" si="59"/>
        <v>0</v>
      </c>
      <c r="V92" s="45">
        <f t="shared" si="58"/>
        <v>0.95599999999999996</v>
      </c>
      <c r="W92" s="110">
        <f t="shared" si="52"/>
        <v>7.1199999999999996E-3</v>
      </c>
    </row>
    <row r="93" spans="1:23" ht="17.25">
      <c r="A93" s="11"/>
      <c r="B93" s="25" t="s">
        <v>21</v>
      </c>
      <c r="C93" s="13"/>
      <c r="D93" s="13"/>
      <c r="E93" s="13"/>
      <c r="F93" s="35"/>
      <c r="G93" s="36"/>
      <c r="H93" s="36"/>
      <c r="I93" s="36"/>
      <c r="J93" s="35"/>
      <c r="K93" s="36"/>
      <c r="L93" s="36"/>
      <c r="M93" s="36"/>
      <c r="N93" s="35"/>
      <c r="O93" s="36"/>
      <c r="P93" s="36"/>
      <c r="Q93" s="36"/>
      <c r="R93" s="35"/>
      <c r="S93" s="36"/>
      <c r="T93" s="36"/>
      <c r="U93" s="36"/>
      <c r="V93" s="46"/>
      <c r="W93" s="110">
        <f t="shared" si="52"/>
        <v>0</v>
      </c>
    </row>
    <row r="94" spans="1:23" ht="66">
      <c r="A94" s="11"/>
      <c r="B94" s="26" t="s">
        <v>151</v>
      </c>
      <c r="C94" s="13">
        <v>816</v>
      </c>
      <c r="D94" s="14" t="s">
        <v>131</v>
      </c>
      <c r="E94" s="19" t="s">
        <v>152</v>
      </c>
      <c r="F94" s="35">
        <f t="shared" ref="F94:F102" si="60">SUM(G94:H94)</f>
        <v>0</v>
      </c>
      <c r="G94" s="36">
        <f>8670-8670</f>
        <v>0</v>
      </c>
      <c r="H94" s="36">
        <v>0</v>
      </c>
      <c r="I94" s="36"/>
      <c r="J94" s="35">
        <f t="shared" ref="J94:J102" si="61">SUM(K94:L94)</f>
        <v>0</v>
      </c>
      <c r="K94" s="36">
        <f>39.59+504.24+3119.25-3663.08</f>
        <v>0</v>
      </c>
      <c r="L94" s="36"/>
      <c r="M94" s="36"/>
      <c r="N94" s="35">
        <f t="shared" ref="N94:N102" si="62">SUM(O94:P94)</f>
        <v>0</v>
      </c>
      <c r="O94" s="36">
        <f>28120-28120</f>
        <v>0</v>
      </c>
      <c r="P94" s="36"/>
      <c r="Q94" s="36"/>
      <c r="R94" s="35">
        <f t="shared" ref="R94:R102" si="63">SUM(S94:U94)</f>
        <v>0</v>
      </c>
      <c r="S94" s="36">
        <f>34320-34320</f>
        <v>0</v>
      </c>
      <c r="T94" s="36"/>
      <c r="U94" s="36"/>
      <c r="V94" s="46"/>
      <c r="W94" s="110">
        <f t="shared" si="52"/>
        <v>0</v>
      </c>
    </row>
    <row r="95" spans="1:23" ht="82.5">
      <c r="A95" s="11" t="s">
        <v>32</v>
      </c>
      <c r="B95" s="26" t="s">
        <v>153</v>
      </c>
      <c r="C95" s="13">
        <v>816</v>
      </c>
      <c r="D95" s="14" t="s">
        <v>131</v>
      </c>
      <c r="E95" s="19" t="s">
        <v>154</v>
      </c>
      <c r="F95" s="35">
        <f t="shared" si="60"/>
        <v>55767.6</v>
      </c>
      <c r="G95" s="36">
        <v>1673</v>
      </c>
      <c r="H95" s="36">
        <v>54094.6</v>
      </c>
      <c r="I95" s="36"/>
      <c r="J95" s="35">
        <f t="shared" si="61"/>
        <v>54741.7</v>
      </c>
      <c r="K95" s="36">
        <f>1191.4+410.6+40.27</f>
        <v>1642.3</v>
      </c>
      <c r="L95" s="36">
        <f>38521.1+13276.12+1302.17</f>
        <v>53099.4</v>
      </c>
      <c r="M95" s="36"/>
      <c r="N95" s="35">
        <f t="shared" si="62"/>
        <v>0</v>
      </c>
      <c r="O95" s="36"/>
      <c r="P95" s="36"/>
      <c r="Q95" s="36"/>
      <c r="R95" s="35">
        <f t="shared" si="63"/>
        <v>0</v>
      </c>
      <c r="S95" s="36"/>
      <c r="T95" s="36"/>
      <c r="U95" s="36"/>
      <c r="V95" s="46">
        <f>J95/F95</f>
        <v>0.98199999999999998</v>
      </c>
      <c r="W95" s="110">
        <f t="shared" si="52"/>
        <v>5.4099999999999999E-3</v>
      </c>
    </row>
    <row r="96" spans="1:23" ht="99">
      <c r="A96" s="11"/>
      <c r="B96" s="26" t="s">
        <v>155</v>
      </c>
      <c r="C96" s="13">
        <v>816</v>
      </c>
      <c r="D96" s="14" t="s">
        <v>131</v>
      </c>
      <c r="E96" s="19" t="s">
        <v>156</v>
      </c>
      <c r="F96" s="35">
        <f t="shared" si="60"/>
        <v>0</v>
      </c>
      <c r="G96" s="36">
        <f>8907.1-8907.1</f>
        <v>0</v>
      </c>
      <c r="H96" s="36"/>
      <c r="I96" s="36"/>
      <c r="J96" s="35">
        <f t="shared" si="61"/>
        <v>0</v>
      </c>
      <c r="K96" s="36"/>
      <c r="L96" s="36"/>
      <c r="M96" s="36"/>
      <c r="N96" s="35">
        <f t="shared" si="62"/>
        <v>0</v>
      </c>
      <c r="O96" s="36"/>
      <c r="P96" s="36"/>
      <c r="Q96" s="36"/>
      <c r="R96" s="35">
        <f t="shared" si="63"/>
        <v>0</v>
      </c>
      <c r="S96" s="36"/>
      <c r="T96" s="36"/>
      <c r="U96" s="36"/>
      <c r="V96" s="46"/>
      <c r="W96" s="110">
        <f t="shared" si="52"/>
        <v>0</v>
      </c>
    </row>
    <row r="97" spans="1:23" ht="66">
      <c r="A97" s="11"/>
      <c r="B97" s="26" t="s">
        <v>157</v>
      </c>
      <c r="C97" s="13">
        <v>816</v>
      </c>
      <c r="D97" s="14" t="s">
        <v>131</v>
      </c>
      <c r="E97" s="19" t="s">
        <v>158</v>
      </c>
      <c r="F97" s="35">
        <f t="shared" si="60"/>
        <v>0</v>
      </c>
      <c r="G97" s="36"/>
      <c r="H97" s="36"/>
      <c r="I97" s="36"/>
      <c r="J97" s="35">
        <f t="shared" si="61"/>
        <v>0</v>
      </c>
      <c r="K97" s="36"/>
      <c r="L97" s="36"/>
      <c r="M97" s="36"/>
      <c r="N97" s="35">
        <f t="shared" si="62"/>
        <v>33000</v>
      </c>
      <c r="O97" s="36">
        <v>33000</v>
      </c>
      <c r="P97" s="36"/>
      <c r="Q97" s="36"/>
      <c r="R97" s="35">
        <f t="shared" si="63"/>
        <v>33000</v>
      </c>
      <c r="S97" s="36">
        <v>33000</v>
      </c>
      <c r="T97" s="36"/>
      <c r="U97" s="36"/>
      <c r="V97" s="46"/>
      <c r="W97" s="110">
        <f t="shared" si="52"/>
        <v>0</v>
      </c>
    </row>
    <row r="98" spans="1:23" ht="99">
      <c r="A98" s="11"/>
      <c r="B98" s="26" t="s">
        <v>155</v>
      </c>
      <c r="C98" s="13">
        <v>816</v>
      </c>
      <c r="D98" s="14" t="s">
        <v>131</v>
      </c>
      <c r="E98" s="19" t="s">
        <v>159</v>
      </c>
      <c r="F98" s="35">
        <f t="shared" si="60"/>
        <v>8907.1</v>
      </c>
      <c r="G98" s="36">
        <v>8907.1</v>
      </c>
      <c r="H98" s="36"/>
      <c r="I98" s="36"/>
      <c r="J98" s="35">
        <f t="shared" si="61"/>
        <v>7277.2</v>
      </c>
      <c r="K98" s="36">
        <f>4876.8+2400.35</f>
        <v>7277.2</v>
      </c>
      <c r="L98" s="36"/>
      <c r="M98" s="36"/>
      <c r="N98" s="35">
        <f t="shared" si="62"/>
        <v>0</v>
      </c>
      <c r="O98" s="36"/>
      <c r="P98" s="36"/>
      <c r="Q98" s="36"/>
      <c r="R98" s="35">
        <f t="shared" si="63"/>
        <v>0</v>
      </c>
      <c r="S98" s="36"/>
      <c r="T98" s="36"/>
      <c r="U98" s="36"/>
      <c r="V98" s="46">
        <f>J98/F98</f>
        <v>0.81699999999999995</v>
      </c>
      <c r="W98" s="110">
        <f t="shared" si="52"/>
        <v>8.5999999999999998E-4</v>
      </c>
    </row>
    <row r="99" spans="1:23" ht="82.5">
      <c r="A99" s="11"/>
      <c r="B99" s="26" t="s">
        <v>160</v>
      </c>
      <c r="C99" s="13">
        <v>816</v>
      </c>
      <c r="D99" s="14" t="s">
        <v>131</v>
      </c>
      <c r="E99" s="19" t="s">
        <v>161</v>
      </c>
      <c r="F99" s="35">
        <f t="shared" si="60"/>
        <v>3840</v>
      </c>
      <c r="G99" s="36">
        <v>3840</v>
      </c>
      <c r="H99" s="36"/>
      <c r="I99" s="36"/>
      <c r="J99" s="35">
        <f t="shared" si="61"/>
        <v>3840</v>
      </c>
      <c r="K99" s="36">
        <v>3840</v>
      </c>
      <c r="L99" s="36"/>
      <c r="M99" s="36"/>
      <c r="N99" s="35">
        <f t="shared" si="62"/>
        <v>5620</v>
      </c>
      <c r="O99" s="36">
        <v>5620</v>
      </c>
      <c r="P99" s="36"/>
      <c r="Q99" s="36"/>
      <c r="R99" s="35">
        <f t="shared" si="63"/>
        <v>5620</v>
      </c>
      <c r="S99" s="36">
        <v>5620</v>
      </c>
      <c r="T99" s="36"/>
      <c r="U99" s="36"/>
      <c r="V99" s="46">
        <f>J99/F99</f>
        <v>1</v>
      </c>
      <c r="W99" s="110">
        <f t="shared" si="52"/>
        <v>3.6999999999999999E-4</v>
      </c>
    </row>
    <row r="100" spans="1:23" ht="115.5">
      <c r="A100" s="11"/>
      <c r="B100" s="26" t="s">
        <v>162</v>
      </c>
      <c r="C100" s="13">
        <v>816</v>
      </c>
      <c r="D100" s="14" t="s">
        <v>131</v>
      </c>
      <c r="E100" s="19" t="s">
        <v>163</v>
      </c>
      <c r="F100" s="35">
        <f t="shared" si="60"/>
        <v>280</v>
      </c>
      <c r="G100" s="36">
        <v>280</v>
      </c>
      <c r="H100" s="36"/>
      <c r="I100" s="36"/>
      <c r="J100" s="35">
        <f t="shared" si="61"/>
        <v>0</v>
      </c>
      <c r="K100" s="36"/>
      <c r="L100" s="36"/>
      <c r="M100" s="36"/>
      <c r="N100" s="35">
        <f t="shared" si="62"/>
        <v>20</v>
      </c>
      <c r="O100" s="36">
        <v>20</v>
      </c>
      <c r="P100" s="36"/>
      <c r="Q100" s="36"/>
      <c r="R100" s="35">
        <f t="shared" si="63"/>
        <v>20</v>
      </c>
      <c r="S100" s="36">
        <v>20</v>
      </c>
      <c r="T100" s="36"/>
      <c r="U100" s="36"/>
      <c r="V100" s="46">
        <f>J100/F100</f>
        <v>0</v>
      </c>
      <c r="W100" s="110">
        <f t="shared" si="52"/>
        <v>3.0000000000000001E-5</v>
      </c>
    </row>
    <row r="101" spans="1:23" ht="66">
      <c r="A101" s="11"/>
      <c r="B101" s="26" t="s">
        <v>164</v>
      </c>
      <c r="C101" s="13">
        <v>816</v>
      </c>
      <c r="D101" s="14" t="s">
        <v>131</v>
      </c>
      <c r="E101" s="19" t="s">
        <v>165</v>
      </c>
      <c r="F101" s="35">
        <f t="shared" si="60"/>
        <v>4550</v>
      </c>
      <c r="G101" s="36">
        <v>4550</v>
      </c>
      <c r="H101" s="36"/>
      <c r="I101" s="36"/>
      <c r="J101" s="35">
        <f t="shared" si="61"/>
        <v>4247.8</v>
      </c>
      <c r="K101" s="36">
        <f>4054+56.54+75.83+30.78+30.65</f>
        <v>4247.8</v>
      </c>
      <c r="L101" s="36"/>
      <c r="M101" s="36"/>
      <c r="N101" s="35">
        <f t="shared" si="62"/>
        <v>5850</v>
      </c>
      <c r="O101" s="36">
        <v>5850</v>
      </c>
      <c r="P101" s="36"/>
      <c r="Q101" s="36"/>
      <c r="R101" s="35">
        <f t="shared" si="63"/>
        <v>6500</v>
      </c>
      <c r="S101" s="36">
        <v>6500</v>
      </c>
      <c r="T101" s="36"/>
      <c r="U101" s="36"/>
      <c r="V101" s="46">
        <f>J101/F101</f>
        <v>0.93400000000000005</v>
      </c>
      <c r="W101" s="110">
        <f t="shared" si="52"/>
        <v>4.4000000000000002E-4</v>
      </c>
    </row>
    <row r="102" spans="1:23" ht="99">
      <c r="A102" s="11"/>
      <c r="B102" s="26" t="s">
        <v>166</v>
      </c>
      <c r="C102" s="13">
        <v>816</v>
      </c>
      <c r="D102" s="14" t="s">
        <v>131</v>
      </c>
      <c r="E102" s="19" t="s">
        <v>167</v>
      </c>
      <c r="F102" s="35">
        <f t="shared" si="60"/>
        <v>0</v>
      </c>
      <c r="G102" s="36"/>
      <c r="H102" s="36"/>
      <c r="I102" s="36"/>
      <c r="J102" s="35">
        <f t="shared" si="61"/>
        <v>0</v>
      </c>
      <c r="K102" s="36"/>
      <c r="L102" s="36"/>
      <c r="M102" s="36"/>
      <c r="N102" s="35">
        <f t="shared" si="62"/>
        <v>16630</v>
      </c>
      <c r="O102" s="36">
        <v>16630</v>
      </c>
      <c r="P102" s="36"/>
      <c r="Q102" s="36"/>
      <c r="R102" s="35">
        <f t="shared" si="63"/>
        <v>22180</v>
      </c>
      <c r="S102" s="36">
        <v>22180</v>
      </c>
      <c r="T102" s="36"/>
      <c r="U102" s="36"/>
      <c r="V102" s="46"/>
      <c r="W102" s="110">
        <f t="shared" si="52"/>
        <v>0</v>
      </c>
    </row>
    <row r="103" spans="1:23" ht="33">
      <c r="A103" s="9" t="s">
        <v>168</v>
      </c>
      <c r="B103" s="24" t="s">
        <v>169</v>
      </c>
      <c r="C103" s="12" t="s">
        <v>18</v>
      </c>
      <c r="D103" s="12" t="s">
        <v>18</v>
      </c>
      <c r="E103" s="12" t="s">
        <v>18</v>
      </c>
      <c r="F103" s="35">
        <f t="shared" ref="F103:U105" si="64">F104</f>
        <v>1066</v>
      </c>
      <c r="G103" s="35">
        <f t="shared" si="64"/>
        <v>1066</v>
      </c>
      <c r="H103" s="35">
        <f t="shared" si="64"/>
        <v>0</v>
      </c>
      <c r="I103" s="35">
        <f t="shared" si="64"/>
        <v>0</v>
      </c>
      <c r="J103" s="35">
        <f t="shared" si="64"/>
        <v>817.7</v>
      </c>
      <c r="K103" s="35">
        <f t="shared" si="64"/>
        <v>817.7</v>
      </c>
      <c r="L103" s="35">
        <f t="shared" si="64"/>
        <v>0</v>
      </c>
      <c r="M103" s="35">
        <f>M104</f>
        <v>0</v>
      </c>
      <c r="N103" s="35">
        <f t="shared" si="64"/>
        <v>0</v>
      </c>
      <c r="O103" s="35">
        <f t="shared" si="64"/>
        <v>0</v>
      </c>
      <c r="P103" s="35">
        <f t="shared" si="64"/>
        <v>0</v>
      </c>
      <c r="Q103" s="35">
        <f t="shared" si="64"/>
        <v>0</v>
      </c>
      <c r="R103" s="35">
        <f t="shared" si="64"/>
        <v>0</v>
      </c>
      <c r="S103" s="35">
        <f t="shared" si="64"/>
        <v>0</v>
      </c>
      <c r="T103" s="35">
        <f t="shared" si="64"/>
        <v>0</v>
      </c>
      <c r="U103" s="35">
        <f t="shared" si="64"/>
        <v>0</v>
      </c>
      <c r="V103" s="45">
        <f>J103/F103</f>
        <v>0.76700000000000002</v>
      </c>
      <c r="W103" s="110">
        <f t="shared" si="52"/>
        <v>1E-4</v>
      </c>
    </row>
    <row r="104" spans="1:23" ht="66">
      <c r="A104" s="11"/>
      <c r="B104" s="26" t="s">
        <v>170</v>
      </c>
      <c r="C104" s="13">
        <v>815</v>
      </c>
      <c r="D104" s="14" t="s">
        <v>119</v>
      </c>
      <c r="E104" s="19" t="s">
        <v>171</v>
      </c>
      <c r="F104" s="35">
        <f>SUM(G104:H104)</f>
        <v>1066</v>
      </c>
      <c r="G104" s="36">
        <v>1066</v>
      </c>
      <c r="H104" s="36"/>
      <c r="I104" s="36"/>
      <c r="J104" s="35">
        <f>SUM(K104:L104)</f>
        <v>817.7</v>
      </c>
      <c r="K104" s="36">
        <f>701.4+10+5+100+1.32</f>
        <v>817.7</v>
      </c>
      <c r="L104" s="36"/>
      <c r="M104" s="36"/>
      <c r="N104" s="35">
        <f>SUM(O104:P104)</f>
        <v>0</v>
      </c>
      <c r="O104" s="36"/>
      <c r="P104" s="36"/>
      <c r="Q104" s="36"/>
      <c r="R104" s="35">
        <f t="shared" ref="R104" si="65">SUM(S104:U104)</f>
        <v>0</v>
      </c>
      <c r="S104" s="36"/>
      <c r="T104" s="36"/>
      <c r="U104" s="36"/>
      <c r="V104" s="46">
        <f>J104/F104</f>
        <v>0.76700000000000002</v>
      </c>
      <c r="W104" s="110">
        <f t="shared" si="52"/>
        <v>1E-4</v>
      </c>
    </row>
    <row r="105" spans="1:23" ht="33">
      <c r="A105" s="9" t="s">
        <v>348</v>
      </c>
      <c r="B105" s="24" t="s">
        <v>349</v>
      </c>
      <c r="C105" s="12" t="s">
        <v>18</v>
      </c>
      <c r="D105" s="12" t="s">
        <v>18</v>
      </c>
      <c r="E105" s="12" t="s">
        <v>18</v>
      </c>
      <c r="F105" s="35">
        <f t="shared" si="64"/>
        <v>239.2</v>
      </c>
      <c r="G105" s="35">
        <f t="shared" si="64"/>
        <v>239.2</v>
      </c>
      <c r="H105" s="35">
        <f t="shared" si="64"/>
        <v>0</v>
      </c>
      <c r="I105" s="35"/>
      <c r="J105" s="35">
        <f t="shared" si="64"/>
        <v>0</v>
      </c>
      <c r="K105" s="35">
        <f t="shared" si="64"/>
        <v>0</v>
      </c>
      <c r="L105" s="35">
        <f t="shared" si="64"/>
        <v>0</v>
      </c>
      <c r="M105" s="35">
        <f>M106</f>
        <v>0</v>
      </c>
      <c r="N105" s="35">
        <f t="shared" si="64"/>
        <v>0</v>
      </c>
      <c r="O105" s="35">
        <f t="shared" si="64"/>
        <v>0</v>
      </c>
      <c r="P105" s="35">
        <f t="shared" si="64"/>
        <v>0</v>
      </c>
      <c r="Q105" s="35">
        <f t="shared" si="64"/>
        <v>0</v>
      </c>
      <c r="R105" s="35">
        <f t="shared" si="64"/>
        <v>0</v>
      </c>
      <c r="S105" s="35">
        <f t="shared" si="64"/>
        <v>0</v>
      </c>
      <c r="T105" s="35">
        <f t="shared" si="64"/>
        <v>0</v>
      </c>
      <c r="U105" s="35">
        <f t="shared" si="64"/>
        <v>0</v>
      </c>
      <c r="V105" s="45">
        <f>J105/F105</f>
        <v>0</v>
      </c>
      <c r="W105" s="110">
        <f t="shared" si="52"/>
        <v>2.0000000000000002E-5</v>
      </c>
    </row>
    <row r="106" spans="1:23" ht="82.5">
      <c r="A106" s="11"/>
      <c r="B106" s="26" t="s">
        <v>350</v>
      </c>
      <c r="C106" s="13">
        <v>815</v>
      </c>
      <c r="D106" s="14" t="s">
        <v>119</v>
      </c>
      <c r="E106" s="19" t="s">
        <v>351</v>
      </c>
      <c r="F106" s="35">
        <f>SUM(G106:H106)</f>
        <v>239.2</v>
      </c>
      <c r="G106" s="36">
        <v>239.24</v>
      </c>
      <c r="H106" s="36"/>
      <c r="I106" s="36"/>
      <c r="J106" s="35">
        <f>SUM(K106:L106)</f>
        <v>0</v>
      </c>
      <c r="K106" s="36"/>
      <c r="L106" s="36"/>
      <c r="M106" s="36"/>
      <c r="N106" s="35">
        <f>SUM(O106:P106)</f>
        <v>0</v>
      </c>
      <c r="O106" s="36"/>
      <c r="P106" s="36"/>
      <c r="Q106" s="36"/>
      <c r="R106" s="35">
        <f>SUM(S106:T106)</f>
        <v>0</v>
      </c>
      <c r="S106" s="36"/>
      <c r="T106" s="36"/>
      <c r="U106" s="36"/>
      <c r="V106" s="46"/>
      <c r="W106" s="110">
        <f t="shared" si="52"/>
        <v>2.0000000000000002E-5</v>
      </c>
    </row>
    <row r="107" spans="1:23" ht="33">
      <c r="A107" s="1" t="s">
        <v>172</v>
      </c>
      <c r="B107" s="32" t="s">
        <v>173</v>
      </c>
      <c r="C107" s="2" t="s">
        <v>18</v>
      </c>
      <c r="D107" s="2" t="s">
        <v>18</v>
      </c>
      <c r="E107" s="2" t="s">
        <v>18</v>
      </c>
      <c r="F107" s="34">
        <f t="shared" ref="F107:U107" si="66">F108+F112+F115+F118+F128</f>
        <v>109276.2</v>
      </c>
      <c r="G107" s="34">
        <f t="shared" si="66"/>
        <v>109276.1</v>
      </c>
      <c r="H107" s="34">
        <f t="shared" si="66"/>
        <v>0</v>
      </c>
      <c r="I107" s="34">
        <f t="shared" si="66"/>
        <v>0</v>
      </c>
      <c r="J107" s="34">
        <f t="shared" ref="J107" si="67">J108+J112+J115+J118+J128</f>
        <v>88406.9</v>
      </c>
      <c r="K107" s="34">
        <f t="shared" si="66"/>
        <v>88406.9</v>
      </c>
      <c r="L107" s="34">
        <f t="shared" si="66"/>
        <v>0</v>
      </c>
      <c r="M107" s="34">
        <f t="shared" si="66"/>
        <v>0</v>
      </c>
      <c r="N107" s="34">
        <f t="shared" ref="N107" si="68">N108+N112+N115+N118+N128</f>
        <v>0</v>
      </c>
      <c r="O107" s="34">
        <f t="shared" si="66"/>
        <v>0</v>
      </c>
      <c r="P107" s="34">
        <f t="shared" si="66"/>
        <v>0</v>
      </c>
      <c r="Q107" s="34">
        <f t="shared" si="66"/>
        <v>0</v>
      </c>
      <c r="R107" s="34">
        <f t="shared" si="66"/>
        <v>0</v>
      </c>
      <c r="S107" s="34">
        <f t="shared" si="66"/>
        <v>0</v>
      </c>
      <c r="T107" s="34">
        <f t="shared" si="66"/>
        <v>0</v>
      </c>
      <c r="U107" s="34">
        <f t="shared" si="66"/>
        <v>0</v>
      </c>
      <c r="V107" s="44">
        <f t="shared" ref="V107:V112" si="69">J107/F107</f>
        <v>0.80900000000000005</v>
      </c>
      <c r="W107" s="110">
        <f t="shared" si="52"/>
        <v>1.06E-2</v>
      </c>
    </row>
    <row r="108" spans="1:23" ht="33">
      <c r="A108" s="9" t="s">
        <v>174</v>
      </c>
      <c r="B108" s="24" t="s">
        <v>175</v>
      </c>
      <c r="C108" s="12" t="s">
        <v>18</v>
      </c>
      <c r="D108" s="12" t="s">
        <v>18</v>
      </c>
      <c r="E108" s="12" t="s">
        <v>18</v>
      </c>
      <c r="F108" s="35">
        <f>F109+F110+F111</f>
        <v>5428.6</v>
      </c>
      <c r="G108" s="35">
        <f>G109+G110+G111</f>
        <v>5428.6</v>
      </c>
      <c r="H108" s="35">
        <f t="shared" ref="H108:J108" si="70">H109+H110</f>
        <v>0</v>
      </c>
      <c r="I108" s="35">
        <f t="shared" si="70"/>
        <v>0</v>
      </c>
      <c r="J108" s="35">
        <f t="shared" si="70"/>
        <v>5000</v>
      </c>
      <c r="K108" s="35">
        <f t="shared" ref="K108:U108" si="71">K109+K110</f>
        <v>5000</v>
      </c>
      <c r="L108" s="35">
        <f t="shared" si="71"/>
        <v>0</v>
      </c>
      <c r="M108" s="35">
        <f>SUM(M109:M111)</f>
        <v>0</v>
      </c>
      <c r="N108" s="35">
        <f>N109+N110+N111</f>
        <v>0</v>
      </c>
      <c r="O108" s="35">
        <f t="shared" si="71"/>
        <v>0</v>
      </c>
      <c r="P108" s="35">
        <f t="shared" si="71"/>
        <v>0</v>
      </c>
      <c r="Q108" s="35">
        <f t="shared" si="71"/>
        <v>0</v>
      </c>
      <c r="R108" s="35">
        <f>R109+R110+R111</f>
        <v>0</v>
      </c>
      <c r="S108" s="35">
        <f t="shared" si="71"/>
        <v>0</v>
      </c>
      <c r="T108" s="35">
        <f t="shared" si="71"/>
        <v>0</v>
      </c>
      <c r="U108" s="35">
        <f t="shared" si="71"/>
        <v>0</v>
      </c>
      <c r="V108" s="45">
        <f t="shared" si="69"/>
        <v>0.92100000000000004</v>
      </c>
      <c r="W108" s="110">
        <f t="shared" si="52"/>
        <v>5.2999999999999998E-4</v>
      </c>
    </row>
    <row r="109" spans="1:23" ht="66">
      <c r="A109" s="11"/>
      <c r="B109" s="26" t="s">
        <v>176</v>
      </c>
      <c r="C109" s="13">
        <v>815</v>
      </c>
      <c r="D109" s="14" t="s">
        <v>119</v>
      </c>
      <c r="E109" s="19" t="s">
        <v>177</v>
      </c>
      <c r="F109" s="35">
        <f>SUM(G109:H109)</f>
        <v>5000</v>
      </c>
      <c r="G109" s="36">
        <f>3550+1450</f>
        <v>5000</v>
      </c>
      <c r="H109" s="36"/>
      <c r="I109" s="36"/>
      <c r="J109" s="35">
        <f>SUM(K109:L109)</f>
        <v>5000</v>
      </c>
      <c r="K109" s="36">
        <f>3550+1450</f>
        <v>5000</v>
      </c>
      <c r="L109" s="36"/>
      <c r="M109" s="36"/>
      <c r="N109" s="35">
        <f>SUM(O109:P109)</f>
        <v>0</v>
      </c>
      <c r="O109" s="36"/>
      <c r="P109" s="36"/>
      <c r="Q109" s="36"/>
      <c r="R109" s="35">
        <f t="shared" ref="R109:R111" si="72">SUM(S109:U109)</f>
        <v>0</v>
      </c>
      <c r="S109" s="36"/>
      <c r="T109" s="36"/>
      <c r="U109" s="36"/>
      <c r="V109" s="46">
        <f t="shared" si="69"/>
        <v>1</v>
      </c>
      <c r="W109" s="110">
        <f t="shared" si="52"/>
        <v>4.8999999999999998E-4</v>
      </c>
    </row>
    <row r="110" spans="1:23" ht="66">
      <c r="A110" s="11"/>
      <c r="B110" s="26" t="s">
        <v>326</v>
      </c>
      <c r="C110" s="13">
        <v>815</v>
      </c>
      <c r="D110" s="14" t="s">
        <v>119</v>
      </c>
      <c r="E110" s="19" t="s">
        <v>325</v>
      </c>
      <c r="F110" s="35">
        <f>SUM(G110:H110)</f>
        <v>244.9</v>
      </c>
      <c r="G110" s="36">
        <v>244.9</v>
      </c>
      <c r="H110" s="36"/>
      <c r="I110" s="36"/>
      <c r="J110" s="35">
        <f>SUM(K110:L110)</f>
        <v>0</v>
      </c>
      <c r="K110" s="36"/>
      <c r="L110" s="36"/>
      <c r="M110" s="36"/>
      <c r="N110" s="35">
        <f>SUM(O110:P110)</f>
        <v>0</v>
      </c>
      <c r="O110" s="36"/>
      <c r="P110" s="36"/>
      <c r="Q110" s="36"/>
      <c r="R110" s="35">
        <f t="shared" si="72"/>
        <v>0</v>
      </c>
      <c r="S110" s="36"/>
      <c r="T110" s="36"/>
      <c r="U110" s="36"/>
      <c r="V110" s="46">
        <f t="shared" si="69"/>
        <v>0</v>
      </c>
      <c r="W110" s="110">
        <f t="shared" si="52"/>
        <v>2.0000000000000002E-5</v>
      </c>
    </row>
    <row r="111" spans="1:23" ht="99">
      <c r="A111" s="11"/>
      <c r="B111" s="26" t="s">
        <v>328</v>
      </c>
      <c r="C111" s="13">
        <v>815</v>
      </c>
      <c r="D111" s="14" t="s">
        <v>119</v>
      </c>
      <c r="E111" s="19" t="s">
        <v>327</v>
      </c>
      <c r="F111" s="35">
        <f>SUM(G111:H111)</f>
        <v>183.7</v>
      </c>
      <c r="G111" s="36">
        <f>61.2+122.45</f>
        <v>183.7</v>
      </c>
      <c r="H111" s="36"/>
      <c r="I111" s="36"/>
      <c r="J111" s="35">
        <f>SUM(K111:L111)</f>
        <v>0</v>
      </c>
      <c r="K111" s="36"/>
      <c r="L111" s="36"/>
      <c r="M111" s="36"/>
      <c r="N111" s="35">
        <f>SUM(O111:P111)</f>
        <v>0</v>
      </c>
      <c r="O111" s="36"/>
      <c r="P111" s="36"/>
      <c r="Q111" s="36"/>
      <c r="R111" s="35">
        <f t="shared" si="72"/>
        <v>0</v>
      </c>
      <c r="S111" s="36"/>
      <c r="T111" s="36"/>
      <c r="U111" s="36"/>
      <c r="V111" s="46">
        <f t="shared" si="69"/>
        <v>0</v>
      </c>
      <c r="W111" s="110">
        <f t="shared" si="52"/>
        <v>2.0000000000000002E-5</v>
      </c>
    </row>
    <row r="112" spans="1:23" ht="33">
      <c r="A112" s="9" t="s">
        <v>178</v>
      </c>
      <c r="B112" s="24" t="s">
        <v>179</v>
      </c>
      <c r="C112" s="12" t="s">
        <v>18</v>
      </c>
      <c r="D112" s="12" t="s">
        <v>18</v>
      </c>
      <c r="E112" s="12" t="s">
        <v>18</v>
      </c>
      <c r="F112" s="35">
        <f>F114</f>
        <v>60000</v>
      </c>
      <c r="G112" s="35">
        <f t="shared" ref="G112:I112" si="73">G114</f>
        <v>60000</v>
      </c>
      <c r="H112" s="35">
        <f t="shared" si="73"/>
        <v>0</v>
      </c>
      <c r="I112" s="35">
        <f t="shared" si="73"/>
        <v>0</v>
      </c>
      <c r="J112" s="35">
        <f>J114</f>
        <v>59999</v>
      </c>
      <c r="K112" s="35">
        <f t="shared" ref="K112:U112" si="74">SUM(K114)</f>
        <v>59999</v>
      </c>
      <c r="L112" s="35">
        <f t="shared" si="74"/>
        <v>0</v>
      </c>
      <c r="M112" s="35">
        <f>M114</f>
        <v>0</v>
      </c>
      <c r="N112" s="35">
        <f>N114</f>
        <v>0</v>
      </c>
      <c r="O112" s="35">
        <f t="shared" si="74"/>
        <v>0</v>
      </c>
      <c r="P112" s="35">
        <f t="shared" si="74"/>
        <v>0</v>
      </c>
      <c r="Q112" s="35">
        <f t="shared" si="74"/>
        <v>0</v>
      </c>
      <c r="R112" s="35">
        <f>R114</f>
        <v>0</v>
      </c>
      <c r="S112" s="35">
        <f t="shared" si="74"/>
        <v>0</v>
      </c>
      <c r="T112" s="35">
        <f t="shared" si="74"/>
        <v>0</v>
      </c>
      <c r="U112" s="35">
        <f t="shared" si="74"/>
        <v>0</v>
      </c>
      <c r="V112" s="45">
        <f t="shared" si="69"/>
        <v>1</v>
      </c>
      <c r="W112" s="110">
        <f t="shared" si="52"/>
        <v>5.8199999999999997E-3</v>
      </c>
    </row>
    <row r="113" spans="1:23" ht="17.25">
      <c r="A113" s="11"/>
      <c r="B113" s="28" t="s">
        <v>21</v>
      </c>
      <c r="C113" s="13"/>
      <c r="D113" s="14"/>
      <c r="E113" s="19"/>
      <c r="F113" s="35"/>
      <c r="G113" s="36"/>
      <c r="H113" s="36"/>
      <c r="I113" s="36"/>
      <c r="J113" s="35"/>
      <c r="K113" s="36"/>
      <c r="L113" s="36"/>
      <c r="M113" s="36"/>
      <c r="N113" s="35"/>
      <c r="O113" s="36"/>
      <c r="P113" s="36"/>
      <c r="Q113" s="36"/>
      <c r="R113" s="35"/>
      <c r="S113" s="36"/>
      <c r="T113" s="36"/>
      <c r="U113" s="36"/>
      <c r="V113" s="46"/>
      <c r="W113" s="110">
        <f t="shared" si="52"/>
        <v>0</v>
      </c>
    </row>
    <row r="114" spans="1:23" ht="99">
      <c r="A114" s="11"/>
      <c r="B114" s="26" t="s">
        <v>180</v>
      </c>
      <c r="C114" s="13">
        <v>840</v>
      </c>
      <c r="D114" s="14" t="s">
        <v>181</v>
      </c>
      <c r="E114" s="19" t="s">
        <v>182</v>
      </c>
      <c r="F114" s="35">
        <f>SUM(G114:H114)</f>
        <v>60000</v>
      </c>
      <c r="G114" s="36">
        <f>56878.3+3121.72</f>
        <v>60000</v>
      </c>
      <c r="H114" s="36"/>
      <c r="I114" s="36"/>
      <c r="J114" s="35">
        <f>SUM(K114:L114)</f>
        <v>59999</v>
      </c>
      <c r="K114" s="36">
        <f>35000+24999.04</f>
        <v>59999</v>
      </c>
      <c r="L114" s="36"/>
      <c r="M114" s="36"/>
      <c r="N114" s="35">
        <f>SUM(O114:P114)</f>
        <v>0</v>
      </c>
      <c r="O114" s="36"/>
      <c r="P114" s="36"/>
      <c r="Q114" s="36"/>
      <c r="R114" s="35">
        <f t="shared" ref="R114" si="75">SUM(S114:U114)</f>
        <v>0</v>
      </c>
      <c r="S114" s="36"/>
      <c r="T114" s="36"/>
      <c r="U114" s="36"/>
      <c r="V114" s="46">
        <f>J114/F114</f>
        <v>1</v>
      </c>
      <c r="W114" s="110">
        <f t="shared" si="52"/>
        <v>5.8199999999999997E-3</v>
      </c>
    </row>
    <row r="115" spans="1:23" ht="33">
      <c r="A115" s="9" t="s">
        <v>183</v>
      </c>
      <c r="B115" s="24" t="s">
        <v>184</v>
      </c>
      <c r="C115" s="12" t="s">
        <v>18</v>
      </c>
      <c r="D115" s="12" t="s">
        <v>18</v>
      </c>
      <c r="E115" s="12" t="s">
        <v>18</v>
      </c>
      <c r="F115" s="35">
        <f>F117</f>
        <v>1300</v>
      </c>
      <c r="G115" s="35">
        <f>SUM(G117)</f>
        <v>1300</v>
      </c>
      <c r="H115" s="35">
        <f t="shared" ref="H115:U115" si="76">SUM(H117)</f>
        <v>0</v>
      </c>
      <c r="I115" s="35">
        <f t="shared" si="76"/>
        <v>0</v>
      </c>
      <c r="J115" s="35">
        <f t="shared" si="76"/>
        <v>1282.5</v>
      </c>
      <c r="K115" s="35">
        <f t="shared" si="76"/>
        <v>1282.5</v>
      </c>
      <c r="L115" s="35">
        <f t="shared" si="76"/>
        <v>0</v>
      </c>
      <c r="M115" s="35">
        <f>M117</f>
        <v>0</v>
      </c>
      <c r="N115" s="35">
        <f>N117</f>
        <v>0</v>
      </c>
      <c r="O115" s="35">
        <f t="shared" si="76"/>
        <v>0</v>
      </c>
      <c r="P115" s="35">
        <f t="shared" si="76"/>
        <v>0</v>
      </c>
      <c r="Q115" s="35">
        <f t="shared" si="76"/>
        <v>0</v>
      </c>
      <c r="R115" s="35">
        <f>R117</f>
        <v>0</v>
      </c>
      <c r="S115" s="35">
        <f t="shared" si="76"/>
        <v>0</v>
      </c>
      <c r="T115" s="35">
        <f t="shared" si="76"/>
        <v>0</v>
      </c>
      <c r="U115" s="35">
        <f t="shared" si="76"/>
        <v>0</v>
      </c>
      <c r="V115" s="45">
        <f>J115/F115</f>
        <v>0.98699999999999999</v>
      </c>
      <c r="W115" s="110">
        <f t="shared" si="52"/>
        <v>1.2999999999999999E-4</v>
      </c>
    </row>
    <row r="116" spans="1:23" ht="17.25">
      <c r="A116" s="11"/>
      <c r="B116" s="26" t="s">
        <v>21</v>
      </c>
      <c r="C116" s="13"/>
      <c r="D116" s="14"/>
      <c r="E116" s="19"/>
      <c r="F116" s="35"/>
      <c r="G116" s="36"/>
      <c r="H116" s="36"/>
      <c r="I116" s="36"/>
      <c r="J116" s="35"/>
      <c r="K116" s="36"/>
      <c r="L116" s="36"/>
      <c r="M116" s="36"/>
      <c r="N116" s="35"/>
      <c r="O116" s="36"/>
      <c r="P116" s="36"/>
      <c r="Q116" s="36"/>
      <c r="R116" s="35"/>
      <c r="S116" s="36"/>
      <c r="T116" s="36"/>
      <c r="U116" s="36"/>
      <c r="V116" s="46"/>
      <c r="W116" s="110">
        <f t="shared" si="52"/>
        <v>0</v>
      </c>
    </row>
    <row r="117" spans="1:23" ht="66">
      <c r="A117" s="11"/>
      <c r="B117" s="26" t="s">
        <v>185</v>
      </c>
      <c r="C117" s="13">
        <v>804</v>
      </c>
      <c r="D117" s="14" t="s">
        <v>186</v>
      </c>
      <c r="E117" s="11" t="s">
        <v>187</v>
      </c>
      <c r="F117" s="35">
        <f>SUM(G117:H117)</f>
        <v>1300</v>
      </c>
      <c r="G117" s="36">
        <v>1300</v>
      </c>
      <c r="H117" s="36"/>
      <c r="I117" s="36"/>
      <c r="J117" s="35">
        <f>SUM(K117:L117)</f>
        <v>1282.5</v>
      </c>
      <c r="K117" s="36">
        <v>1282.46</v>
      </c>
      <c r="L117" s="36"/>
      <c r="M117" s="36"/>
      <c r="N117" s="35">
        <f>SUM(O117:P117)</f>
        <v>0</v>
      </c>
      <c r="O117" s="36">
        <v>0</v>
      </c>
      <c r="P117" s="36"/>
      <c r="Q117" s="36"/>
      <c r="R117" s="35">
        <f t="shared" ref="R117" si="77">SUM(S117:U117)</f>
        <v>0</v>
      </c>
      <c r="S117" s="36">
        <v>0</v>
      </c>
      <c r="T117" s="36"/>
      <c r="U117" s="36"/>
      <c r="V117" s="46">
        <f>J117/F117</f>
        <v>0.98699999999999999</v>
      </c>
      <c r="W117" s="110">
        <f t="shared" si="52"/>
        <v>1.2999999999999999E-4</v>
      </c>
    </row>
    <row r="118" spans="1:23" ht="33">
      <c r="A118" s="9" t="s">
        <v>188</v>
      </c>
      <c r="B118" s="24" t="s">
        <v>189</v>
      </c>
      <c r="C118" s="12" t="s">
        <v>18</v>
      </c>
      <c r="D118" s="12" t="s">
        <v>18</v>
      </c>
      <c r="E118" s="12" t="s">
        <v>18</v>
      </c>
      <c r="F118" s="35">
        <f>SUM(F120:F127)</f>
        <v>24543.7</v>
      </c>
      <c r="G118" s="35">
        <f t="shared" ref="G118:U118" si="78">SUM(G120:G127)</f>
        <v>24543.599999999999</v>
      </c>
      <c r="H118" s="35">
        <f t="shared" si="78"/>
        <v>0</v>
      </c>
      <c r="I118" s="35">
        <f t="shared" si="78"/>
        <v>0</v>
      </c>
      <c r="J118" s="35">
        <f>SUM(J120:J127)</f>
        <v>11653.6</v>
      </c>
      <c r="K118" s="35">
        <f t="shared" si="78"/>
        <v>11653.6</v>
      </c>
      <c r="L118" s="35">
        <f t="shared" si="78"/>
        <v>0</v>
      </c>
      <c r="M118" s="35">
        <f>SUM(M120:M127)</f>
        <v>0</v>
      </c>
      <c r="N118" s="35">
        <f>SUM(N120:N127)</f>
        <v>0</v>
      </c>
      <c r="O118" s="35">
        <f t="shared" si="78"/>
        <v>0</v>
      </c>
      <c r="P118" s="35">
        <f t="shared" si="78"/>
        <v>0</v>
      </c>
      <c r="Q118" s="35">
        <f t="shared" si="78"/>
        <v>0</v>
      </c>
      <c r="R118" s="35">
        <f>SUM(R120:R127)</f>
        <v>0</v>
      </c>
      <c r="S118" s="35">
        <f t="shared" si="78"/>
        <v>0</v>
      </c>
      <c r="T118" s="35">
        <f t="shared" si="78"/>
        <v>0</v>
      </c>
      <c r="U118" s="35">
        <f t="shared" si="78"/>
        <v>0</v>
      </c>
      <c r="V118" s="45">
        <f>J118/F118</f>
        <v>0.47499999999999998</v>
      </c>
      <c r="W118" s="110">
        <f t="shared" si="52"/>
        <v>2.3800000000000002E-3</v>
      </c>
    </row>
    <row r="119" spans="1:23" ht="17.25">
      <c r="A119" s="11"/>
      <c r="B119" s="28" t="s">
        <v>21</v>
      </c>
      <c r="C119" s="13"/>
      <c r="D119" s="14"/>
      <c r="E119" s="19"/>
      <c r="F119" s="35"/>
      <c r="G119" s="36"/>
      <c r="H119" s="36"/>
      <c r="I119" s="36"/>
      <c r="J119" s="35"/>
      <c r="K119" s="36"/>
      <c r="L119" s="36"/>
      <c r="M119" s="36"/>
      <c r="N119" s="35"/>
      <c r="O119" s="36"/>
      <c r="P119" s="36"/>
      <c r="Q119" s="36"/>
      <c r="R119" s="35"/>
      <c r="S119" s="36"/>
      <c r="T119" s="36"/>
      <c r="U119" s="36"/>
      <c r="V119" s="46"/>
      <c r="W119" s="110">
        <f t="shared" si="52"/>
        <v>0</v>
      </c>
    </row>
    <row r="120" spans="1:23" ht="33">
      <c r="A120" s="11"/>
      <c r="B120" s="28" t="s">
        <v>337</v>
      </c>
      <c r="C120" s="13">
        <v>804</v>
      </c>
      <c r="D120" s="14" t="s">
        <v>186</v>
      </c>
      <c r="E120" s="19" t="s">
        <v>336</v>
      </c>
      <c r="F120" s="35">
        <f t="shared" ref="F120:F127" si="79">SUM(G120:H120)</f>
        <v>3440</v>
      </c>
      <c r="G120" s="36">
        <v>3440</v>
      </c>
      <c r="H120" s="36"/>
      <c r="I120" s="36"/>
      <c r="J120" s="35">
        <f t="shared" ref="J120:J127" si="80">SUM(K120:L120)</f>
        <v>0</v>
      </c>
      <c r="K120" s="36"/>
      <c r="L120" s="36"/>
      <c r="M120" s="36"/>
      <c r="N120" s="35">
        <f t="shared" ref="N120:N125" si="81">SUM(O120:P120)</f>
        <v>0</v>
      </c>
      <c r="O120" s="36"/>
      <c r="P120" s="36"/>
      <c r="Q120" s="36"/>
      <c r="R120" s="35">
        <f t="shared" ref="R120:R127" si="82">SUM(S120:U120)</f>
        <v>0</v>
      </c>
      <c r="S120" s="36"/>
      <c r="T120" s="36"/>
      <c r="U120" s="36"/>
      <c r="V120" s="46">
        <f>J120/F120</f>
        <v>0</v>
      </c>
      <c r="W120" s="110">
        <f t="shared" si="52"/>
        <v>3.3E-4</v>
      </c>
    </row>
    <row r="121" spans="1:23" ht="66">
      <c r="A121" s="11"/>
      <c r="B121" s="26" t="s">
        <v>190</v>
      </c>
      <c r="C121" s="13">
        <v>804</v>
      </c>
      <c r="D121" s="14" t="s">
        <v>186</v>
      </c>
      <c r="E121" s="11" t="s">
        <v>191</v>
      </c>
      <c r="F121" s="35">
        <f t="shared" si="79"/>
        <v>0</v>
      </c>
      <c r="G121" s="36">
        <f>1120-1120</f>
        <v>0</v>
      </c>
      <c r="H121" s="36"/>
      <c r="I121" s="36"/>
      <c r="J121" s="35">
        <f t="shared" si="80"/>
        <v>0</v>
      </c>
      <c r="K121" s="36"/>
      <c r="L121" s="36"/>
      <c r="M121" s="36"/>
      <c r="N121" s="35">
        <f t="shared" si="81"/>
        <v>0</v>
      </c>
      <c r="O121" s="36">
        <v>0</v>
      </c>
      <c r="P121" s="36"/>
      <c r="Q121" s="36"/>
      <c r="R121" s="35">
        <f t="shared" si="82"/>
        <v>0</v>
      </c>
      <c r="S121" s="36">
        <v>0</v>
      </c>
      <c r="T121" s="36"/>
      <c r="U121" s="36"/>
      <c r="V121" s="46"/>
      <c r="W121" s="110">
        <f t="shared" si="52"/>
        <v>0</v>
      </c>
    </row>
    <row r="122" spans="1:23" ht="66">
      <c r="A122" s="11"/>
      <c r="B122" s="26" t="s">
        <v>192</v>
      </c>
      <c r="C122" s="13">
        <v>804</v>
      </c>
      <c r="D122" s="14" t="s">
        <v>186</v>
      </c>
      <c r="E122" s="11" t="s">
        <v>193</v>
      </c>
      <c r="F122" s="35">
        <f t="shared" si="79"/>
        <v>1600</v>
      </c>
      <c r="G122" s="36">
        <v>1600</v>
      </c>
      <c r="H122" s="36"/>
      <c r="I122" s="36"/>
      <c r="J122" s="35">
        <f t="shared" si="80"/>
        <v>935.2</v>
      </c>
      <c r="K122" s="36">
        <f>5443.98+264.54-4773.32</f>
        <v>935.2</v>
      </c>
      <c r="L122" s="36"/>
      <c r="M122" s="36"/>
      <c r="N122" s="35">
        <f t="shared" si="81"/>
        <v>0</v>
      </c>
      <c r="O122" s="36">
        <v>0</v>
      </c>
      <c r="P122" s="36"/>
      <c r="Q122" s="36"/>
      <c r="R122" s="35">
        <f t="shared" si="82"/>
        <v>0</v>
      </c>
      <c r="S122" s="36">
        <v>0</v>
      </c>
      <c r="T122" s="36"/>
      <c r="U122" s="36"/>
      <c r="V122" s="46">
        <f>J122/F122</f>
        <v>0.58499999999999996</v>
      </c>
      <c r="W122" s="110">
        <f t="shared" si="52"/>
        <v>1.6000000000000001E-4</v>
      </c>
    </row>
    <row r="123" spans="1:23" ht="99">
      <c r="A123" s="11"/>
      <c r="B123" s="26" t="s">
        <v>194</v>
      </c>
      <c r="C123" s="13">
        <v>804</v>
      </c>
      <c r="D123" s="14" t="s">
        <v>186</v>
      </c>
      <c r="E123" s="11" t="s">
        <v>195</v>
      </c>
      <c r="F123" s="35">
        <f t="shared" si="79"/>
        <v>9700</v>
      </c>
      <c r="G123" s="36">
        <v>9700</v>
      </c>
      <c r="H123" s="36"/>
      <c r="I123" s="36"/>
      <c r="J123" s="35">
        <f t="shared" si="80"/>
        <v>7275</v>
      </c>
      <c r="K123" s="36">
        <v>7275</v>
      </c>
      <c r="L123" s="36"/>
      <c r="M123" s="36"/>
      <c r="N123" s="35">
        <f t="shared" si="81"/>
        <v>0</v>
      </c>
      <c r="O123" s="36">
        <v>0</v>
      </c>
      <c r="P123" s="36"/>
      <c r="Q123" s="36"/>
      <c r="R123" s="35">
        <f t="shared" si="82"/>
        <v>0</v>
      </c>
      <c r="S123" s="36">
        <v>0</v>
      </c>
      <c r="T123" s="36"/>
      <c r="U123" s="36"/>
      <c r="V123" s="46">
        <f>J123/F123</f>
        <v>0.75</v>
      </c>
      <c r="W123" s="110">
        <f t="shared" si="52"/>
        <v>9.3999999999999997E-4</v>
      </c>
    </row>
    <row r="124" spans="1:23" ht="165">
      <c r="A124" s="11"/>
      <c r="B124" s="26" t="s">
        <v>196</v>
      </c>
      <c r="C124" s="13">
        <v>804</v>
      </c>
      <c r="D124" s="14" t="s">
        <v>186</v>
      </c>
      <c r="E124" s="11" t="s">
        <v>197</v>
      </c>
      <c r="F124" s="35">
        <f t="shared" si="79"/>
        <v>5305.6</v>
      </c>
      <c r="G124" s="36">
        <v>5305.55</v>
      </c>
      <c r="H124" s="36"/>
      <c r="I124" s="36"/>
      <c r="J124" s="35">
        <f t="shared" si="80"/>
        <v>0</v>
      </c>
      <c r="K124" s="36"/>
      <c r="L124" s="36"/>
      <c r="M124" s="36"/>
      <c r="N124" s="35">
        <f t="shared" si="81"/>
        <v>0</v>
      </c>
      <c r="O124" s="36">
        <v>0</v>
      </c>
      <c r="P124" s="36"/>
      <c r="Q124" s="36"/>
      <c r="R124" s="35">
        <f t="shared" si="82"/>
        <v>0</v>
      </c>
      <c r="S124" s="36">
        <v>0</v>
      </c>
      <c r="T124" s="36"/>
      <c r="U124" s="36"/>
      <c r="V124" s="46">
        <f>J124/F124</f>
        <v>0</v>
      </c>
      <c r="W124" s="110">
        <f t="shared" si="52"/>
        <v>5.1000000000000004E-4</v>
      </c>
    </row>
    <row r="125" spans="1:23" ht="49.5">
      <c r="A125" s="11"/>
      <c r="B125" s="26" t="s">
        <v>198</v>
      </c>
      <c r="C125" s="13">
        <v>804</v>
      </c>
      <c r="D125" s="14" t="s">
        <v>186</v>
      </c>
      <c r="E125" s="11" t="s">
        <v>199</v>
      </c>
      <c r="F125" s="35">
        <f t="shared" si="79"/>
        <v>0</v>
      </c>
      <c r="G125" s="36">
        <f>5200-278.82-4921.18</f>
        <v>0</v>
      </c>
      <c r="H125" s="36"/>
      <c r="I125" s="36"/>
      <c r="J125" s="35">
        <f t="shared" si="80"/>
        <v>0</v>
      </c>
      <c r="K125" s="36">
        <f>0</f>
        <v>0</v>
      </c>
      <c r="L125" s="36"/>
      <c r="M125" s="36"/>
      <c r="N125" s="35">
        <f t="shared" si="81"/>
        <v>0</v>
      </c>
      <c r="O125" s="36">
        <v>0</v>
      </c>
      <c r="P125" s="36"/>
      <c r="Q125" s="36"/>
      <c r="R125" s="35">
        <f t="shared" si="82"/>
        <v>0</v>
      </c>
      <c r="S125" s="36">
        <v>0</v>
      </c>
      <c r="T125" s="36"/>
      <c r="U125" s="36"/>
      <c r="V125" s="46"/>
      <c r="W125" s="110">
        <f t="shared" si="52"/>
        <v>0</v>
      </c>
    </row>
    <row r="126" spans="1:23" ht="82.5">
      <c r="A126" s="11"/>
      <c r="B126" s="26" t="s">
        <v>347</v>
      </c>
      <c r="C126" s="13">
        <v>804</v>
      </c>
      <c r="D126" s="14" t="s">
        <v>186</v>
      </c>
      <c r="E126" s="11" t="s">
        <v>346</v>
      </c>
      <c r="F126" s="35">
        <f t="shared" si="79"/>
        <v>602</v>
      </c>
      <c r="G126" s="36">
        <v>601.98</v>
      </c>
      <c r="H126" s="36"/>
      <c r="I126" s="36"/>
      <c r="J126" s="35">
        <f t="shared" si="80"/>
        <v>151.6</v>
      </c>
      <c r="K126" s="36">
        <v>151.6</v>
      </c>
      <c r="L126" s="36"/>
      <c r="M126" s="36"/>
      <c r="N126" s="35"/>
      <c r="O126" s="36"/>
      <c r="P126" s="36"/>
      <c r="Q126" s="36"/>
      <c r="R126" s="35"/>
      <c r="S126" s="36"/>
      <c r="T126" s="36"/>
      <c r="U126" s="36"/>
      <c r="V126" s="46"/>
      <c r="W126" s="110">
        <f t="shared" si="52"/>
        <v>6.0000000000000002E-5</v>
      </c>
    </row>
    <row r="127" spans="1:23" ht="181.5">
      <c r="A127" s="11"/>
      <c r="B127" s="26" t="s">
        <v>200</v>
      </c>
      <c r="C127" s="13">
        <v>804</v>
      </c>
      <c r="D127" s="14" t="s">
        <v>186</v>
      </c>
      <c r="E127" s="11" t="s">
        <v>201</v>
      </c>
      <c r="F127" s="35">
        <f t="shared" si="79"/>
        <v>3896.1</v>
      </c>
      <c r="G127" s="36">
        <f>3791.78+104.34</f>
        <v>3896.1</v>
      </c>
      <c r="H127" s="36"/>
      <c r="I127" s="36"/>
      <c r="J127" s="35">
        <f t="shared" si="80"/>
        <v>3291.8</v>
      </c>
      <c r="K127" s="36">
        <v>3291.78</v>
      </c>
      <c r="L127" s="36"/>
      <c r="M127" s="36"/>
      <c r="N127" s="35">
        <f>SUM(O127:P127)</f>
        <v>0</v>
      </c>
      <c r="O127" s="36">
        <v>0</v>
      </c>
      <c r="P127" s="36"/>
      <c r="Q127" s="36"/>
      <c r="R127" s="35">
        <f t="shared" si="82"/>
        <v>0</v>
      </c>
      <c r="S127" s="36">
        <v>0</v>
      </c>
      <c r="T127" s="36"/>
      <c r="U127" s="36"/>
      <c r="V127" s="46">
        <f>J127/F127</f>
        <v>0.84499999999999997</v>
      </c>
      <c r="W127" s="110">
        <f t="shared" si="52"/>
        <v>3.8000000000000002E-4</v>
      </c>
    </row>
    <row r="128" spans="1:23" ht="33">
      <c r="A128" s="9" t="s">
        <v>202</v>
      </c>
      <c r="B128" s="24" t="s">
        <v>203</v>
      </c>
      <c r="C128" s="12" t="s">
        <v>18</v>
      </c>
      <c r="D128" s="12" t="s">
        <v>18</v>
      </c>
      <c r="E128" s="12" t="s">
        <v>18</v>
      </c>
      <c r="F128" s="35">
        <f>SUM(F130)</f>
        <v>18003.900000000001</v>
      </c>
      <c r="G128" s="35">
        <f t="shared" ref="G128:U128" si="83">SUM(G130)</f>
        <v>18003.900000000001</v>
      </c>
      <c r="H128" s="35">
        <f t="shared" si="83"/>
        <v>0</v>
      </c>
      <c r="I128" s="35">
        <f t="shared" si="83"/>
        <v>0</v>
      </c>
      <c r="J128" s="35">
        <f t="shared" si="83"/>
        <v>10471.799999999999</v>
      </c>
      <c r="K128" s="35">
        <f t="shared" si="83"/>
        <v>10471.799999999999</v>
      </c>
      <c r="L128" s="35">
        <f t="shared" si="83"/>
        <v>0</v>
      </c>
      <c r="M128" s="35">
        <f>M130</f>
        <v>0</v>
      </c>
      <c r="N128" s="35">
        <f>SUM(N130)</f>
        <v>0</v>
      </c>
      <c r="O128" s="35">
        <f t="shared" si="83"/>
        <v>0</v>
      </c>
      <c r="P128" s="35">
        <f t="shared" si="83"/>
        <v>0</v>
      </c>
      <c r="Q128" s="35">
        <f t="shared" si="83"/>
        <v>0</v>
      </c>
      <c r="R128" s="35">
        <f t="shared" si="83"/>
        <v>0</v>
      </c>
      <c r="S128" s="35">
        <f t="shared" si="83"/>
        <v>0</v>
      </c>
      <c r="T128" s="35">
        <f t="shared" si="83"/>
        <v>0</v>
      </c>
      <c r="U128" s="35">
        <f t="shared" si="83"/>
        <v>0</v>
      </c>
      <c r="V128" s="45">
        <f>J128/F128</f>
        <v>0.58199999999999996</v>
      </c>
      <c r="W128" s="110">
        <f t="shared" si="52"/>
        <v>1.75E-3</v>
      </c>
    </row>
    <row r="129" spans="1:23" ht="17.25">
      <c r="A129" s="11"/>
      <c r="B129" s="28" t="s">
        <v>21</v>
      </c>
      <c r="C129" s="13"/>
      <c r="D129" s="14"/>
      <c r="E129" s="11"/>
      <c r="F129" s="35"/>
      <c r="G129" s="36"/>
      <c r="H129" s="36"/>
      <c r="I129" s="36"/>
      <c r="J129" s="35"/>
      <c r="K129" s="36"/>
      <c r="L129" s="36"/>
      <c r="M129" s="36"/>
      <c r="N129" s="35"/>
      <c r="O129" s="36"/>
      <c r="P129" s="36"/>
      <c r="Q129" s="36"/>
      <c r="R129" s="35"/>
      <c r="S129" s="36"/>
      <c r="T129" s="36"/>
      <c r="U129" s="36"/>
      <c r="V129" s="46"/>
      <c r="W129" s="110">
        <f t="shared" si="52"/>
        <v>0</v>
      </c>
    </row>
    <row r="130" spans="1:23" ht="66">
      <c r="A130" s="11"/>
      <c r="B130" s="26" t="s">
        <v>204</v>
      </c>
      <c r="C130" s="13">
        <v>804</v>
      </c>
      <c r="D130" s="14" t="s">
        <v>186</v>
      </c>
      <c r="E130" s="11" t="s">
        <v>205</v>
      </c>
      <c r="F130" s="35">
        <f>SUM(G130:H130)</f>
        <v>18003.900000000001</v>
      </c>
      <c r="G130" s="36">
        <v>18003.900000000001</v>
      </c>
      <c r="H130" s="36"/>
      <c r="I130" s="36"/>
      <c r="J130" s="35">
        <f>SUM(K130:L130)</f>
        <v>10471.799999999999</v>
      </c>
      <c r="K130" s="36">
        <f>10349.98+121.79</f>
        <v>10471.799999999999</v>
      </c>
      <c r="L130" s="36"/>
      <c r="M130" s="36"/>
      <c r="N130" s="35">
        <f>SUM(O130:P130)</f>
        <v>0</v>
      </c>
      <c r="O130" s="36"/>
      <c r="P130" s="36"/>
      <c r="Q130" s="36"/>
      <c r="R130" s="35">
        <f t="shared" ref="R130" si="84">SUM(S130:U130)</f>
        <v>0</v>
      </c>
      <c r="S130" s="36"/>
      <c r="T130" s="36"/>
      <c r="U130" s="36"/>
      <c r="V130" s="46">
        <f>J130/F130</f>
        <v>0.58199999999999996</v>
      </c>
      <c r="W130" s="110">
        <f t="shared" si="52"/>
        <v>1.75E-3</v>
      </c>
    </row>
    <row r="131" spans="1:23" ht="33">
      <c r="A131" s="1" t="s">
        <v>206</v>
      </c>
      <c r="B131" s="32" t="s">
        <v>207</v>
      </c>
      <c r="C131" s="2" t="s">
        <v>18</v>
      </c>
      <c r="D131" s="2" t="s">
        <v>18</v>
      </c>
      <c r="E131" s="2" t="s">
        <v>18</v>
      </c>
      <c r="F131" s="34">
        <f t="shared" ref="F131:K131" si="85">F132+F136</f>
        <v>1236186.3</v>
      </c>
      <c r="G131" s="34">
        <f t="shared" si="85"/>
        <v>28467.7</v>
      </c>
      <c r="H131" s="34">
        <f t="shared" si="85"/>
        <v>960457.2</v>
      </c>
      <c r="I131" s="34">
        <f t="shared" si="85"/>
        <v>247261.4</v>
      </c>
      <c r="J131" s="34">
        <f t="shared" si="85"/>
        <v>511139.3</v>
      </c>
      <c r="K131" s="34">
        <f t="shared" si="85"/>
        <v>12742.2</v>
      </c>
      <c r="L131" s="34">
        <f>L132+L136</f>
        <v>411995.6</v>
      </c>
      <c r="M131" s="34">
        <f>M132+M136</f>
        <v>86401.5</v>
      </c>
      <c r="N131" s="34">
        <f t="shared" ref="N131:U131" si="86">N132+N136</f>
        <v>57929.5</v>
      </c>
      <c r="O131" s="34">
        <f t="shared" si="86"/>
        <v>56479.6</v>
      </c>
      <c r="P131" s="34">
        <f t="shared" si="86"/>
        <v>0</v>
      </c>
      <c r="Q131" s="34">
        <f t="shared" si="86"/>
        <v>1449.9</v>
      </c>
      <c r="R131" s="34">
        <f t="shared" si="86"/>
        <v>1449.9</v>
      </c>
      <c r="S131" s="34">
        <f t="shared" si="86"/>
        <v>0</v>
      </c>
      <c r="T131" s="34">
        <f t="shared" si="86"/>
        <v>0</v>
      </c>
      <c r="U131" s="34">
        <f t="shared" si="86"/>
        <v>1449.9</v>
      </c>
      <c r="V131" s="44">
        <f>J131/F131</f>
        <v>0.41299999999999998</v>
      </c>
      <c r="W131" s="110">
        <f t="shared" si="52"/>
        <v>0.11992999999999999</v>
      </c>
    </row>
    <row r="132" spans="1:23" ht="33">
      <c r="A132" s="9" t="s">
        <v>208</v>
      </c>
      <c r="B132" s="24" t="s">
        <v>209</v>
      </c>
      <c r="C132" s="12" t="s">
        <v>18</v>
      </c>
      <c r="D132" s="12" t="s">
        <v>18</v>
      </c>
      <c r="E132" s="12" t="s">
        <v>18</v>
      </c>
      <c r="F132" s="35">
        <f>SUM(F134:F135)</f>
        <v>468472.7</v>
      </c>
      <c r="G132" s="35">
        <f t="shared" ref="G132:U132" si="87">SUM(G134:G135)</f>
        <v>12764</v>
      </c>
      <c r="H132" s="35">
        <f t="shared" si="87"/>
        <v>452704</v>
      </c>
      <c r="I132" s="35">
        <f t="shared" si="87"/>
        <v>3004.7</v>
      </c>
      <c r="J132" s="35">
        <f>SUM(J134:J135)</f>
        <v>283518.8</v>
      </c>
      <c r="K132" s="35">
        <f t="shared" si="87"/>
        <v>8439.9</v>
      </c>
      <c r="L132" s="35">
        <f t="shared" si="87"/>
        <v>272890.40000000002</v>
      </c>
      <c r="M132" s="35">
        <f>SUM(M134:M135)</f>
        <v>2188.5</v>
      </c>
      <c r="N132" s="35">
        <f>SUM(N134:N135)</f>
        <v>57929.5</v>
      </c>
      <c r="O132" s="35">
        <f t="shared" si="87"/>
        <v>56479.6</v>
      </c>
      <c r="P132" s="35">
        <f t="shared" si="87"/>
        <v>0</v>
      </c>
      <c r="Q132" s="35">
        <f t="shared" si="87"/>
        <v>1449.9</v>
      </c>
      <c r="R132" s="35">
        <f>SUM(R134:R135)</f>
        <v>1449.9</v>
      </c>
      <c r="S132" s="35">
        <f t="shared" si="87"/>
        <v>0</v>
      </c>
      <c r="T132" s="35">
        <f t="shared" si="87"/>
        <v>0</v>
      </c>
      <c r="U132" s="35">
        <f t="shared" si="87"/>
        <v>1449.9</v>
      </c>
      <c r="V132" s="45">
        <f>J132/F132</f>
        <v>0.60499999999999998</v>
      </c>
      <c r="W132" s="110">
        <f t="shared" si="52"/>
        <v>4.5449999999999997E-2</v>
      </c>
    </row>
    <row r="133" spans="1:23" ht="17.25">
      <c r="A133" s="11"/>
      <c r="B133" s="25" t="s">
        <v>21</v>
      </c>
      <c r="C133" s="13"/>
      <c r="D133" s="13"/>
      <c r="E133" s="13"/>
      <c r="F133" s="35"/>
      <c r="G133" s="36"/>
      <c r="H133" s="36"/>
      <c r="I133" s="36"/>
      <c r="J133" s="35"/>
      <c r="K133" s="36"/>
      <c r="L133" s="36"/>
      <c r="M133" s="36"/>
      <c r="N133" s="35"/>
      <c r="O133" s="36"/>
      <c r="P133" s="36"/>
      <c r="Q133" s="36"/>
      <c r="R133" s="35"/>
      <c r="S133" s="36"/>
      <c r="T133" s="36"/>
      <c r="U133" s="36"/>
      <c r="V133" s="46"/>
      <c r="W133" s="110">
        <f t="shared" si="52"/>
        <v>0</v>
      </c>
    </row>
    <row r="134" spans="1:23" ht="66">
      <c r="A134" s="11" t="s">
        <v>32</v>
      </c>
      <c r="B134" s="26" t="s">
        <v>210</v>
      </c>
      <c r="C134" s="13">
        <v>821</v>
      </c>
      <c r="D134" s="14" t="s">
        <v>34</v>
      </c>
      <c r="E134" s="13" t="s">
        <v>211</v>
      </c>
      <c r="F134" s="35">
        <f>SUM(G134:H134)+I134</f>
        <v>428472.7</v>
      </c>
      <c r="G134" s="36">
        <v>12764</v>
      </c>
      <c r="H134" s="36">
        <v>412704</v>
      </c>
      <c r="I134" s="36">
        <v>3004.7</v>
      </c>
      <c r="J134" s="35">
        <f>SUM(K134:L134)+M134</f>
        <v>283518.8</v>
      </c>
      <c r="K134" s="36">
        <f>6145.1+613.75+60.08+911.64+709.29</f>
        <v>8439.9</v>
      </c>
      <c r="L134" s="36">
        <f>198692.9+19844.68+1942.69+29476.44+22933.65</f>
        <v>272890.40000000002</v>
      </c>
      <c r="M134" s="36">
        <v>2188.5</v>
      </c>
      <c r="N134" s="35">
        <f>SUM(O134:P134)+Q134</f>
        <v>54029.5</v>
      </c>
      <c r="O134" s="36">
        <v>52579.6</v>
      </c>
      <c r="P134" s="36"/>
      <c r="Q134" s="36">
        <v>1449.9</v>
      </c>
      <c r="R134" s="35">
        <f t="shared" ref="R134:R135" si="88">SUM(S134:U134)</f>
        <v>1449.9</v>
      </c>
      <c r="S134" s="36"/>
      <c r="T134" s="36"/>
      <c r="U134" s="36">
        <v>1449.9</v>
      </c>
      <c r="V134" s="46">
        <f>J134/F134</f>
        <v>0.66200000000000003</v>
      </c>
      <c r="W134" s="110">
        <f t="shared" si="52"/>
        <v>4.1570000000000003E-2</v>
      </c>
    </row>
    <row r="135" spans="1:23" ht="82.5">
      <c r="A135" s="11" t="s">
        <v>22</v>
      </c>
      <c r="B135" s="26" t="s">
        <v>212</v>
      </c>
      <c r="C135" s="13">
        <v>821</v>
      </c>
      <c r="D135" s="14" t="s">
        <v>34</v>
      </c>
      <c r="E135" s="13" t="s">
        <v>213</v>
      </c>
      <c r="F135" s="35">
        <f>SUM(G135:H135)</f>
        <v>40000</v>
      </c>
      <c r="G135" s="36"/>
      <c r="H135" s="38">
        <v>40000</v>
      </c>
      <c r="I135" s="38"/>
      <c r="J135" s="35">
        <f>SUM(K135:L135)</f>
        <v>0</v>
      </c>
      <c r="K135" s="36"/>
      <c r="L135" s="36"/>
      <c r="M135" s="36"/>
      <c r="N135" s="35">
        <f>SUM(O135:P135)</f>
        <v>3900</v>
      </c>
      <c r="O135" s="36">
        <v>3900</v>
      </c>
      <c r="P135" s="36"/>
      <c r="Q135" s="36"/>
      <c r="R135" s="35">
        <f t="shared" si="88"/>
        <v>0</v>
      </c>
      <c r="S135" s="36"/>
      <c r="T135" s="36"/>
      <c r="U135" s="36"/>
      <c r="V135" s="46">
        <f>J135/F135</f>
        <v>0</v>
      </c>
      <c r="W135" s="110">
        <f t="shared" si="52"/>
        <v>3.8800000000000002E-3</v>
      </c>
    </row>
    <row r="136" spans="1:23" ht="49.5">
      <c r="A136" s="9" t="s">
        <v>214</v>
      </c>
      <c r="B136" s="24" t="s">
        <v>215</v>
      </c>
      <c r="C136" s="12" t="s">
        <v>18</v>
      </c>
      <c r="D136" s="12" t="s">
        <v>18</v>
      </c>
      <c r="E136" s="12" t="s">
        <v>18</v>
      </c>
      <c r="F136" s="35">
        <f>SUM(F137:F142)</f>
        <v>767713.6</v>
      </c>
      <c r="G136" s="35">
        <f t="shared" ref="G136:J136" si="89">SUM(G137:G142)</f>
        <v>15703.7</v>
      </c>
      <c r="H136" s="35">
        <f t="shared" si="89"/>
        <v>507753.2</v>
      </c>
      <c r="I136" s="35">
        <f t="shared" si="89"/>
        <v>244256.7</v>
      </c>
      <c r="J136" s="35">
        <f t="shared" si="89"/>
        <v>227620.5</v>
      </c>
      <c r="K136" s="35">
        <f t="shared" ref="K136" si="90">SUM(K137:K142)</f>
        <v>4302.3</v>
      </c>
      <c r="L136" s="35">
        <f t="shared" ref="L136" si="91">SUM(L137:L142)</f>
        <v>139105.20000000001</v>
      </c>
      <c r="M136" s="35">
        <f>SUM(M137:M142)</f>
        <v>84213</v>
      </c>
      <c r="N136" s="35">
        <f>SUM(N137:N142)</f>
        <v>0</v>
      </c>
      <c r="O136" s="35">
        <f t="shared" ref="O136" si="92">SUM(O137:O142)</f>
        <v>0</v>
      </c>
      <c r="P136" s="35">
        <f t="shared" ref="P136:Q136" si="93">SUM(P137:P142)</f>
        <v>0</v>
      </c>
      <c r="Q136" s="35">
        <f t="shared" si="93"/>
        <v>0</v>
      </c>
      <c r="R136" s="35">
        <f>SUM(R137:R142)</f>
        <v>0</v>
      </c>
      <c r="S136" s="35">
        <f t="shared" ref="S136" si="94">SUM(S137:S142)</f>
        <v>0</v>
      </c>
      <c r="T136" s="35">
        <f t="shared" ref="T136" si="95">SUM(T137:T142)</f>
        <v>0</v>
      </c>
      <c r="U136" s="35">
        <f t="shared" ref="U136" si="96">SUM(U137:U142)</f>
        <v>0</v>
      </c>
      <c r="V136" s="45">
        <f>J136/F136</f>
        <v>0.29599999999999999</v>
      </c>
      <c r="W136" s="110">
        <f t="shared" si="52"/>
        <v>7.4480000000000005E-2</v>
      </c>
    </row>
    <row r="137" spans="1:23" ht="66">
      <c r="A137" s="11"/>
      <c r="B137" s="26" t="s">
        <v>216</v>
      </c>
      <c r="C137" s="13">
        <v>821</v>
      </c>
      <c r="D137" s="14" t="s">
        <v>34</v>
      </c>
      <c r="E137" s="13" t="s">
        <v>217</v>
      </c>
      <c r="F137" s="35">
        <f t="shared" ref="F137:F142" si="97">SUM(G137:H137)</f>
        <v>0</v>
      </c>
      <c r="G137" s="36"/>
      <c r="H137" s="36">
        <f>473247.15-473247.15</f>
        <v>0</v>
      </c>
      <c r="I137" s="36"/>
      <c r="J137" s="35">
        <f t="shared" ref="J137:J142" si="98">SUM(K137:L137)</f>
        <v>0</v>
      </c>
      <c r="K137" s="36"/>
      <c r="L137" s="36"/>
      <c r="M137" s="36"/>
      <c r="N137" s="35">
        <f t="shared" ref="N137:N142" si="99">SUM(O137:P137)</f>
        <v>0</v>
      </c>
      <c r="O137" s="36"/>
      <c r="P137" s="36"/>
      <c r="Q137" s="36"/>
      <c r="R137" s="35">
        <f t="shared" ref="R137:R142" si="100">SUM(S137:U137)</f>
        <v>0</v>
      </c>
      <c r="S137" s="36"/>
      <c r="T137" s="36"/>
      <c r="U137" s="36"/>
      <c r="V137" s="46"/>
      <c r="W137" s="110">
        <f t="shared" ref="W137:W200" si="101">F137/$F$8</f>
        <v>0</v>
      </c>
    </row>
    <row r="138" spans="1:23" ht="66">
      <c r="A138" s="11"/>
      <c r="B138" s="26" t="s">
        <v>218</v>
      </c>
      <c r="C138" s="13">
        <v>821</v>
      </c>
      <c r="D138" s="14" t="s">
        <v>34</v>
      </c>
      <c r="E138" s="13" t="s">
        <v>219</v>
      </c>
      <c r="F138" s="35">
        <f t="shared" si="97"/>
        <v>0</v>
      </c>
      <c r="G138" s="36">
        <f>14636.51-14636.51</f>
        <v>0</v>
      </c>
      <c r="H138" s="36"/>
      <c r="I138" s="36"/>
      <c r="J138" s="35">
        <f t="shared" si="98"/>
        <v>0</v>
      </c>
      <c r="K138" s="36"/>
      <c r="L138" s="36"/>
      <c r="M138" s="36"/>
      <c r="N138" s="35">
        <f t="shared" si="99"/>
        <v>0</v>
      </c>
      <c r="O138" s="36"/>
      <c r="P138" s="36"/>
      <c r="Q138" s="36"/>
      <c r="R138" s="35">
        <f t="shared" si="100"/>
        <v>0</v>
      </c>
      <c r="S138" s="36"/>
      <c r="T138" s="36"/>
      <c r="U138" s="36"/>
      <c r="V138" s="46"/>
      <c r="W138" s="110">
        <f t="shared" si="101"/>
        <v>0</v>
      </c>
    </row>
    <row r="139" spans="1:23" ht="82.5">
      <c r="A139" s="11"/>
      <c r="B139" s="26" t="s">
        <v>220</v>
      </c>
      <c r="C139" s="13">
        <v>821</v>
      </c>
      <c r="D139" s="14" t="s">
        <v>34</v>
      </c>
      <c r="E139" s="13" t="s">
        <v>221</v>
      </c>
      <c r="F139" s="35">
        <f t="shared" si="97"/>
        <v>0</v>
      </c>
      <c r="G139" s="36"/>
      <c r="H139" s="36">
        <f>34506.05-34506.05</f>
        <v>0</v>
      </c>
      <c r="I139" s="36"/>
      <c r="J139" s="35">
        <f t="shared" si="98"/>
        <v>0</v>
      </c>
      <c r="K139" s="36"/>
      <c r="L139" s="36"/>
      <c r="M139" s="36"/>
      <c r="N139" s="35">
        <f t="shared" si="99"/>
        <v>0</v>
      </c>
      <c r="O139" s="36"/>
      <c r="P139" s="36"/>
      <c r="Q139" s="36"/>
      <c r="R139" s="35">
        <f t="shared" si="100"/>
        <v>0</v>
      </c>
      <c r="S139" s="36"/>
      <c r="T139" s="36"/>
      <c r="U139" s="36"/>
      <c r="V139" s="46"/>
      <c r="W139" s="110">
        <f t="shared" si="101"/>
        <v>0</v>
      </c>
    </row>
    <row r="140" spans="1:23" ht="66">
      <c r="A140" s="11"/>
      <c r="B140" s="26" t="s">
        <v>222</v>
      </c>
      <c r="C140" s="13">
        <v>821</v>
      </c>
      <c r="D140" s="14" t="s">
        <v>34</v>
      </c>
      <c r="E140" s="13" t="s">
        <v>223</v>
      </c>
      <c r="F140" s="35">
        <f t="shared" si="97"/>
        <v>0</v>
      </c>
      <c r="G140" s="36">
        <f>1067.2-1067.2</f>
        <v>0</v>
      </c>
      <c r="H140" s="36"/>
      <c r="I140" s="36"/>
      <c r="J140" s="35">
        <f t="shared" si="98"/>
        <v>0</v>
      </c>
      <c r="K140" s="36"/>
      <c r="L140" s="36"/>
      <c r="M140" s="36"/>
      <c r="N140" s="35">
        <f t="shared" si="99"/>
        <v>0</v>
      </c>
      <c r="O140" s="36"/>
      <c r="P140" s="36"/>
      <c r="Q140" s="36"/>
      <c r="R140" s="35">
        <f t="shared" si="100"/>
        <v>0</v>
      </c>
      <c r="S140" s="36"/>
      <c r="T140" s="36"/>
      <c r="U140" s="36"/>
      <c r="V140" s="46"/>
      <c r="W140" s="110">
        <f t="shared" si="101"/>
        <v>0</v>
      </c>
    </row>
    <row r="141" spans="1:23" ht="82.5">
      <c r="A141" s="9" t="s">
        <v>331</v>
      </c>
      <c r="B141" s="26" t="s">
        <v>332</v>
      </c>
      <c r="C141" s="13">
        <v>821</v>
      </c>
      <c r="D141" s="14" t="s">
        <v>34</v>
      </c>
      <c r="E141" s="13" t="s">
        <v>333</v>
      </c>
      <c r="F141" s="35">
        <f>SUM(G141:H141)+I141</f>
        <v>752009.9</v>
      </c>
      <c r="G141" s="36"/>
      <c r="H141" s="36">
        <v>507753.2</v>
      </c>
      <c r="I141" s="129">
        <v>244256.7</v>
      </c>
      <c r="J141" s="35">
        <f>SUM(K141:L141)+M141</f>
        <v>223318.2</v>
      </c>
      <c r="K141" s="36"/>
      <c r="L141" s="36">
        <f>22134.4+116970.77</f>
        <v>139105.20000000001</v>
      </c>
      <c r="M141" s="129">
        <v>84213</v>
      </c>
      <c r="N141" s="35">
        <f t="shared" si="99"/>
        <v>0</v>
      </c>
      <c r="O141" s="36"/>
      <c r="P141" s="36"/>
      <c r="Q141" s="36"/>
      <c r="R141" s="35">
        <f t="shared" si="100"/>
        <v>0</v>
      </c>
      <c r="S141" s="36"/>
      <c r="T141" s="36"/>
      <c r="U141" s="36"/>
      <c r="V141" s="46">
        <f>J141/F141</f>
        <v>0.29699999999999999</v>
      </c>
      <c r="W141" s="110">
        <f t="shared" si="101"/>
        <v>7.2959999999999997E-2</v>
      </c>
    </row>
    <row r="142" spans="1:23" ht="66">
      <c r="A142" s="11"/>
      <c r="B142" s="26" t="s">
        <v>334</v>
      </c>
      <c r="C142" s="13">
        <v>821</v>
      </c>
      <c r="D142" s="14" t="s">
        <v>34</v>
      </c>
      <c r="E142" s="13" t="s">
        <v>335</v>
      </c>
      <c r="F142" s="35">
        <f t="shared" si="97"/>
        <v>15703.7</v>
      </c>
      <c r="G142" s="36">
        <v>15703.7</v>
      </c>
      <c r="H142" s="36"/>
      <c r="I142" s="130"/>
      <c r="J142" s="35">
        <f t="shared" si="98"/>
        <v>4302.3</v>
      </c>
      <c r="K142" s="36">
        <f>684.6+3617.65</f>
        <v>4302.3</v>
      </c>
      <c r="L142" s="36"/>
      <c r="M142" s="130"/>
      <c r="N142" s="35">
        <f t="shared" si="99"/>
        <v>0</v>
      </c>
      <c r="O142" s="36"/>
      <c r="P142" s="36"/>
      <c r="Q142" s="36"/>
      <c r="R142" s="35">
        <f t="shared" si="100"/>
        <v>0</v>
      </c>
      <c r="S142" s="36"/>
      <c r="T142" s="36"/>
      <c r="U142" s="36"/>
      <c r="V142" s="46">
        <f>J142/F142</f>
        <v>0.27400000000000002</v>
      </c>
      <c r="W142" s="110">
        <f t="shared" si="101"/>
        <v>1.5200000000000001E-3</v>
      </c>
    </row>
    <row r="143" spans="1:23" ht="17.25">
      <c r="A143" s="1" t="s">
        <v>224</v>
      </c>
      <c r="B143" s="31" t="s">
        <v>225</v>
      </c>
      <c r="C143" s="2" t="s">
        <v>18</v>
      </c>
      <c r="D143" s="2" t="s">
        <v>18</v>
      </c>
      <c r="E143" s="2" t="s">
        <v>18</v>
      </c>
      <c r="F143" s="34">
        <f>F144+F149+F152+F155</f>
        <v>179095.6</v>
      </c>
      <c r="G143" s="34">
        <f>G144+G149+G152+G155</f>
        <v>38152</v>
      </c>
      <c r="H143" s="34">
        <f>H144+H149+H152+H155</f>
        <v>125409</v>
      </c>
      <c r="I143" s="34">
        <f t="shared" ref="I143:J143" si="102">I144+I149+I152+I155</f>
        <v>15534.6</v>
      </c>
      <c r="J143" s="34">
        <f t="shared" si="102"/>
        <v>83888.5</v>
      </c>
      <c r="K143" s="34">
        <f t="shared" ref="K143:U143" si="103">K144+K149+K152+K155</f>
        <v>5807.4</v>
      </c>
      <c r="L143" s="34">
        <f t="shared" si="103"/>
        <v>73258.3</v>
      </c>
      <c r="M143" s="34">
        <f t="shared" si="103"/>
        <v>4822.8</v>
      </c>
      <c r="N143" s="34">
        <f t="shared" si="103"/>
        <v>190288.4</v>
      </c>
      <c r="O143" s="34">
        <f t="shared" si="103"/>
        <v>53681.9</v>
      </c>
      <c r="P143" s="34">
        <f t="shared" si="103"/>
        <v>123539.1</v>
      </c>
      <c r="Q143" s="34">
        <f t="shared" si="103"/>
        <v>13067.4</v>
      </c>
      <c r="R143" s="34">
        <f>R144+R149+R152+R155</f>
        <v>313163.7</v>
      </c>
      <c r="S143" s="34">
        <f t="shared" si="103"/>
        <v>109904.4</v>
      </c>
      <c r="T143" s="34">
        <f t="shared" si="103"/>
        <v>189556.1</v>
      </c>
      <c r="U143" s="34">
        <f t="shared" si="103"/>
        <v>13703.2</v>
      </c>
      <c r="V143" s="44">
        <f>J143/F143</f>
        <v>0.46800000000000003</v>
      </c>
      <c r="W143" s="110">
        <f t="shared" si="101"/>
        <v>1.738E-2</v>
      </c>
    </row>
    <row r="144" spans="1:23" ht="33">
      <c r="A144" s="9" t="s">
        <v>226</v>
      </c>
      <c r="B144" s="24" t="s">
        <v>227</v>
      </c>
      <c r="C144" s="12" t="s">
        <v>18</v>
      </c>
      <c r="D144" s="12" t="s">
        <v>18</v>
      </c>
      <c r="E144" s="12" t="s">
        <v>18</v>
      </c>
      <c r="F144" s="35">
        <f>SUM(F146:F148)</f>
        <v>97207.3</v>
      </c>
      <c r="G144" s="35">
        <f t="shared" ref="G144:U144" si="104">SUM(G146:G148)</f>
        <v>137</v>
      </c>
      <c r="H144" s="35">
        <f t="shared" si="104"/>
        <v>97070.3</v>
      </c>
      <c r="I144" s="35">
        <f t="shared" si="104"/>
        <v>0</v>
      </c>
      <c r="J144" s="35">
        <f>SUM(J146:J148)</f>
        <v>64597.5</v>
      </c>
      <c r="K144" s="35">
        <f t="shared" si="104"/>
        <v>137</v>
      </c>
      <c r="L144" s="35">
        <f t="shared" si="104"/>
        <v>64460.5</v>
      </c>
      <c r="M144" s="35">
        <f>SUM(M146:M148)</f>
        <v>0</v>
      </c>
      <c r="N144" s="35">
        <f>SUM(N146:N148)</f>
        <v>59093.7</v>
      </c>
      <c r="O144" s="35">
        <f t="shared" si="104"/>
        <v>1882.7</v>
      </c>
      <c r="P144" s="35">
        <f t="shared" si="104"/>
        <v>57211</v>
      </c>
      <c r="Q144" s="35">
        <f t="shared" si="104"/>
        <v>0</v>
      </c>
      <c r="R144" s="35">
        <f t="shared" si="104"/>
        <v>50635.3</v>
      </c>
      <c r="S144" s="35">
        <f t="shared" si="104"/>
        <v>1905.1</v>
      </c>
      <c r="T144" s="35">
        <f t="shared" si="104"/>
        <v>48730.2</v>
      </c>
      <c r="U144" s="35">
        <f t="shared" si="104"/>
        <v>0</v>
      </c>
      <c r="V144" s="45">
        <f>J144/F144</f>
        <v>0.66500000000000004</v>
      </c>
      <c r="W144" s="110">
        <f t="shared" si="101"/>
        <v>9.4299999999999991E-3</v>
      </c>
    </row>
    <row r="145" spans="1:23" ht="17.25">
      <c r="A145" s="11"/>
      <c r="B145" s="25" t="s">
        <v>21</v>
      </c>
      <c r="C145" s="13"/>
      <c r="D145" s="13"/>
      <c r="E145" s="13"/>
      <c r="F145" s="35"/>
      <c r="G145" s="36"/>
      <c r="H145" s="36"/>
      <c r="I145" s="36"/>
      <c r="J145" s="35"/>
      <c r="K145" s="36"/>
      <c r="L145" s="36"/>
      <c r="M145" s="36"/>
      <c r="N145" s="35"/>
      <c r="O145" s="36"/>
      <c r="P145" s="36"/>
      <c r="Q145" s="36"/>
      <c r="R145" s="35"/>
      <c r="S145" s="36"/>
      <c r="T145" s="36"/>
      <c r="U145" s="36"/>
      <c r="V145" s="46"/>
      <c r="W145" s="110">
        <f t="shared" si="101"/>
        <v>0</v>
      </c>
    </row>
    <row r="146" spans="1:23" ht="49.5">
      <c r="A146" s="11" t="s">
        <v>64</v>
      </c>
      <c r="B146" s="29" t="s">
        <v>228</v>
      </c>
      <c r="C146" s="13">
        <v>838</v>
      </c>
      <c r="D146" s="14" t="s">
        <v>229</v>
      </c>
      <c r="E146" s="13" t="s">
        <v>230</v>
      </c>
      <c r="F146" s="35">
        <f>SUM(G146:H146)</f>
        <v>4566.2</v>
      </c>
      <c r="G146" s="36">
        <v>137</v>
      </c>
      <c r="H146" s="36">
        <f>4429.2</f>
        <v>4429.2</v>
      </c>
      <c r="I146" s="36"/>
      <c r="J146" s="35">
        <f>SUM(K146:L146)</f>
        <v>4566.2</v>
      </c>
      <c r="K146" s="36">
        <v>137</v>
      </c>
      <c r="L146" s="36">
        <f>4097.1+332.1</f>
        <v>4429.2</v>
      </c>
      <c r="M146" s="36"/>
      <c r="N146" s="35">
        <f>SUM(O146:P146)</f>
        <v>4129.7</v>
      </c>
      <c r="O146" s="36">
        <v>123.9</v>
      </c>
      <c r="P146" s="36">
        <v>4005.8</v>
      </c>
      <c r="Q146" s="36"/>
      <c r="R146" s="35">
        <f t="shared" ref="R146:R148" si="105">SUM(S146:U146)</f>
        <v>3989.9</v>
      </c>
      <c r="S146" s="36">
        <v>119.7</v>
      </c>
      <c r="T146" s="36">
        <v>3870.2</v>
      </c>
      <c r="U146" s="36"/>
      <c r="V146" s="46">
        <f>J146/F146</f>
        <v>1</v>
      </c>
      <c r="W146" s="110">
        <f t="shared" si="101"/>
        <v>4.4000000000000002E-4</v>
      </c>
    </row>
    <row r="147" spans="1:23" ht="99">
      <c r="A147" s="11" t="s">
        <v>64</v>
      </c>
      <c r="B147" s="26" t="s">
        <v>231</v>
      </c>
      <c r="C147" s="13">
        <v>838</v>
      </c>
      <c r="D147" s="14" t="s">
        <v>229</v>
      </c>
      <c r="E147" s="13" t="s">
        <v>232</v>
      </c>
      <c r="F147" s="35">
        <f>SUM(G147:H147)</f>
        <v>11182.2</v>
      </c>
      <c r="G147" s="36">
        <f>345.8-345.8</f>
        <v>0</v>
      </c>
      <c r="H147" s="36">
        <v>11182.2</v>
      </c>
      <c r="I147" s="36"/>
      <c r="J147" s="35">
        <f>SUM(K147:L147)</f>
        <v>10944.3</v>
      </c>
      <c r="K147" s="36"/>
      <c r="L147" s="36">
        <f>5589.2+5355.07</f>
        <v>10944.3</v>
      </c>
      <c r="M147" s="36"/>
      <c r="N147" s="35">
        <f>SUM(O147:P147)</f>
        <v>11528</v>
      </c>
      <c r="O147" s="36">
        <v>345.8</v>
      </c>
      <c r="P147" s="36">
        <v>11182.2</v>
      </c>
      <c r="Q147" s="36"/>
      <c r="R147" s="35">
        <f t="shared" si="105"/>
        <v>12414.8</v>
      </c>
      <c r="S147" s="36">
        <v>372.4</v>
      </c>
      <c r="T147" s="36">
        <v>12042.4</v>
      </c>
      <c r="U147" s="36"/>
      <c r="V147" s="46">
        <f>J147/F147</f>
        <v>0.97899999999999998</v>
      </c>
      <c r="W147" s="110">
        <f t="shared" si="101"/>
        <v>1.08E-3</v>
      </c>
    </row>
    <row r="148" spans="1:23" ht="99">
      <c r="A148" s="11" t="s">
        <v>64</v>
      </c>
      <c r="B148" s="26" t="s">
        <v>233</v>
      </c>
      <c r="C148" s="13">
        <v>838</v>
      </c>
      <c r="D148" s="14" t="s">
        <v>229</v>
      </c>
      <c r="E148" s="13" t="s">
        <v>234</v>
      </c>
      <c r="F148" s="35">
        <f>SUM(G148:H148)</f>
        <v>81458.899999999994</v>
      </c>
      <c r="G148" s="36">
        <f>1413-1413</f>
        <v>0</v>
      </c>
      <c r="H148" s="36">
        <v>81458.899999999994</v>
      </c>
      <c r="I148" s="36"/>
      <c r="J148" s="35">
        <f>SUM(K148:L148)</f>
        <v>49087</v>
      </c>
      <c r="K148" s="36"/>
      <c r="L148" s="36">
        <v>49087</v>
      </c>
      <c r="M148" s="36"/>
      <c r="N148" s="35">
        <f>SUM(O148:P148)</f>
        <v>43436</v>
      </c>
      <c r="O148" s="36">
        <v>1413</v>
      </c>
      <c r="P148" s="36">
        <v>42023</v>
      </c>
      <c r="Q148" s="36"/>
      <c r="R148" s="35">
        <f t="shared" si="105"/>
        <v>34230.6</v>
      </c>
      <c r="S148" s="36">
        <v>1413</v>
      </c>
      <c r="T148" s="36">
        <v>32817.599999999999</v>
      </c>
      <c r="U148" s="36"/>
      <c r="V148" s="46">
        <f>J148/F148</f>
        <v>0.60299999999999998</v>
      </c>
      <c r="W148" s="110">
        <f t="shared" si="101"/>
        <v>7.9000000000000008E-3</v>
      </c>
    </row>
    <row r="149" spans="1:23" ht="33">
      <c r="A149" s="9" t="s">
        <v>235</v>
      </c>
      <c r="B149" s="24" t="s">
        <v>236</v>
      </c>
      <c r="C149" s="12" t="s">
        <v>18</v>
      </c>
      <c r="D149" s="12" t="s">
        <v>18</v>
      </c>
      <c r="E149" s="12" t="s">
        <v>18</v>
      </c>
      <c r="F149" s="35">
        <f>F151</f>
        <v>62138.3</v>
      </c>
      <c r="G149" s="35">
        <f t="shared" ref="G149:U149" si="106">G151</f>
        <v>18265</v>
      </c>
      <c r="H149" s="35">
        <f t="shared" si="106"/>
        <v>28338.7</v>
      </c>
      <c r="I149" s="35">
        <f t="shared" si="106"/>
        <v>15534.6</v>
      </c>
      <c r="J149" s="35">
        <f t="shared" si="106"/>
        <v>19291</v>
      </c>
      <c r="K149" s="35">
        <f t="shared" si="106"/>
        <v>5670.4</v>
      </c>
      <c r="L149" s="35">
        <f t="shared" si="106"/>
        <v>8797.7999999999993</v>
      </c>
      <c r="M149" s="35">
        <f>M151</f>
        <v>4822.8</v>
      </c>
      <c r="N149" s="35">
        <f>N151</f>
        <v>129432.5</v>
      </c>
      <c r="O149" s="35">
        <f t="shared" si="106"/>
        <v>50037</v>
      </c>
      <c r="P149" s="35">
        <f t="shared" si="106"/>
        <v>66328.100000000006</v>
      </c>
      <c r="Q149" s="35">
        <f t="shared" si="106"/>
        <v>13067.4</v>
      </c>
      <c r="R149" s="35">
        <f>R151</f>
        <v>260766.2</v>
      </c>
      <c r="S149" s="35">
        <f t="shared" si="106"/>
        <v>106237.1</v>
      </c>
      <c r="T149" s="35">
        <f t="shared" si="106"/>
        <v>140825.9</v>
      </c>
      <c r="U149" s="35">
        <f t="shared" si="106"/>
        <v>13703.2</v>
      </c>
      <c r="V149" s="45">
        <f>J149/F149</f>
        <v>0.31</v>
      </c>
      <c r="W149" s="110">
        <f t="shared" si="101"/>
        <v>6.0299999999999998E-3</v>
      </c>
    </row>
    <row r="150" spans="1:23" ht="17.25">
      <c r="A150" s="11"/>
      <c r="B150" s="25" t="s">
        <v>21</v>
      </c>
      <c r="C150" s="13"/>
      <c r="D150" s="13"/>
      <c r="E150" s="13"/>
      <c r="F150" s="35"/>
      <c r="G150" s="36"/>
      <c r="H150" s="36"/>
      <c r="I150" s="36"/>
      <c r="J150" s="35"/>
      <c r="K150" s="36"/>
      <c r="L150" s="36"/>
      <c r="M150" s="36"/>
      <c r="N150" s="35"/>
      <c r="O150" s="36"/>
      <c r="P150" s="36"/>
      <c r="Q150" s="36"/>
      <c r="R150" s="35"/>
      <c r="S150" s="36"/>
      <c r="T150" s="36"/>
      <c r="U150" s="36"/>
      <c r="V150" s="46"/>
      <c r="W150" s="110">
        <f t="shared" si="101"/>
        <v>0</v>
      </c>
    </row>
    <row r="151" spans="1:23" ht="66">
      <c r="A151" s="11" t="s">
        <v>32</v>
      </c>
      <c r="B151" s="26" t="s">
        <v>237</v>
      </c>
      <c r="C151" s="13">
        <v>828</v>
      </c>
      <c r="D151" s="14" t="s">
        <v>238</v>
      </c>
      <c r="E151" s="13" t="s">
        <v>239</v>
      </c>
      <c r="F151" s="35">
        <f>SUM(G151:H151)+I151</f>
        <v>62138.3</v>
      </c>
      <c r="G151" s="36">
        <v>18265</v>
      </c>
      <c r="H151" s="36">
        <v>28338.7</v>
      </c>
      <c r="I151" s="36">
        <v>15534.6</v>
      </c>
      <c r="J151" s="35">
        <f>SUM(K151:L151)+M151</f>
        <v>19291</v>
      </c>
      <c r="K151" s="36">
        <f>1586.4+1867+2217.04</f>
        <v>5670.4</v>
      </c>
      <c r="L151" s="36">
        <f>2461.3+2896.71+3439.81</f>
        <v>8797.7999999999993</v>
      </c>
      <c r="M151" s="36">
        <v>4822.8</v>
      </c>
      <c r="N151" s="35">
        <f>SUM(O151:P151)+Q151</f>
        <v>129432.5</v>
      </c>
      <c r="O151" s="36">
        <v>50037</v>
      </c>
      <c r="P151" s="36">
        <v>66328.100000000006</v>
      </c>
      <c r="Q151" s="36">
        <v>13067.4</v>
      </c>
      <c r="R151" s="35">
        <f t="shared" ref="R151" si="107">SUM(S151:U151)</f>
        <v>260766.2</v>
      </c>
      <c r="S151" s="36">
        <v>106237.1</v>
      </c>
      <c r="T151" s="36">
        <v>140825.9</v>
      </c>
      <c r="U151" s="36">
        <v>13703.2</v>
      </c>
      <c r="V151" s="46">
        <f>J151/F151</f>
        <v>0.31</v>
      </c>
      <c r="W151" s="110">
        <f t="shared" si="101"/>
        <v>6.0299999999999998E-3</v>
      </c>
    </row>
    <row r="152" spans="1:23" ht="49.5">
      <c r="A152" s="9" t="s">
        <v>240</v>
      </c>
      <c r="B152" s="24" t="s">
        <v>241</v>
      </c>
      <c r="C152" s="12" t="s">
        <v>18</v>
      </c>
      <c r="D152" s="12" t="s">
        <v>18</v>
      </c>
      <c r="E152" s="12" t="s">
        <v>18</v>
      </c>
      <c r="F152" s="35">
        <f t="shared" ref="F152:U152" si="108">SUM(F154:F154)</f>
        <v>10000</v>
      </c>
      <c r="G152" s="35">
        <f t="shared" si="108"/>
        <v>10000</v>
      </c>
      <c r="H152" s="35">
        <f t="shared" si="108"/>
        <v>0</v>
      </c>
      <c r="I152" s="35">
        <f t="shared" si="108"/>
        <v>0</v>
      </c>
      <c r="J152" s="35">
        <f t="shared" si="108"/>
        <v>0</v>
      </c>
      <c r="K152" s="35">
        <f t="shared" si="108"/>
        <v>0</v>
      </c>
      <c r="L152" s="35">
        <f t="shared" si="108"/>
        <v>0</v>
      </c>
      <c r="M152" s="35">
        <f>M154</f>
        <v>0</v>
      </c>
      <c r="N152" s="35">
        <f t="shared" ref="N152" si="109">SUM(N154:N154)</f>
        <v>0</v>
      </c>
      <c r="O152" s="35">
        <f t="shared" si="108"/>
        <v>0</v>
      </c>
      <c r="P152" s="35">
        <f t="shared" si="108"/>
        <v>0</v>
      </c>
      <c r="Q152" s="35">
        <f t="shared" si="108"/>
        <v>0</v>
      </c>
      <c r="R152" s="35">
        <f t="shared" si="108"/>
        <v>0</v>
      </c>
      <c r="S152" s="35">
        <f t="shared" si="108"/>
        <v>0</v>
      </c>
      <c r="T152" s="35">
        <f t="shared" si="108"/>
        <v>0</v>
      </c>
      <c r="U152" s="35">
        <f t="shared" si="108"/>
        <v>0</v>
      </c>
      <c r="V152" s="45">
        <f>J152/F152</f>
        <v>0</v>
      </c>
      <c r="W152" s="110">
        <f t="shared" si="101"/>
        <v>9.7000000000000005E-4</v>
      </c>
    </row>
    <row r="153" spans="1:23" ht="17.25">
      <c r="A153" s="11"/>
      <c r="B153" s="25" t="s">
        <v>21</v>
      </c>
      <c r="C153" s="13"/>
      <c r="D153" s="13"/>
      <c r="E153" s="13"/>
      <c r="F153" s="35"/>
      <c r="G153" s="36"/>
      <c r="H153" s="36"/>
      <c r="I153" s="36"/>
      <c r="J153" s="35"/>
      <c r="K153" s="36"/>
      <c r="L153" s="36"/>
      <c r="M153" s="36"/>
      <c r="N153" s="35"/>
      <c r="O153" s="36"/>
      <c r="P153" s="36"/>
      <c r="Q153" s="36"/>
      <c r="R153" s="35"/>
      <c r="S153" s="36"/>
      <c r="T153" s="36"/>
      <c r="U153" s="36"/>
      <c r="V153" s="46"/>
      <c r="W153" s="110">
        <f t="shared" si="101"/>
        <v>0</v>
      </c>
    </row>
    <row r="154" spans="1:23" ht="99">
      <c r="A154" s="11"/>
      <c r="B154" s="26" t="s">
        <v>242</v>
      </c>
      <c r="C154" s="13">
        <v>810</v>
      </c>
      <c r="D154" s="14" t="s">
        <v>243</v>
      </c>
      <c r="E154" s="13" t="s">
        <v>244</v>
      </c>
      <c r="F154" s="35">
        <f>SUM(G154:H154)</f>
        <v>10000</v>
      </c>
      <c r="G154" s="36">
        <v>10000</v>
      </c>
      <c r="H154" s="36"/>
      <c r="I154" s="36"/>
      <c r="J154" s="35">
        <f>SUM(K154:L154)</f>
        <v>0</v>
      </c>
      <c r="K154" s="36"/>
      <c r="L154" s="36"/>
      <c r="M154" s="36"/>
      <c r="N154" s="35">
        <f>SUM(O154:P154)</f>
        <v>0</v>
      </c>
      <c r="O154" s="36"/>
      <c r="P154" s="36"/>
      <c r="Q154" s="36"/>
      <c r="R154" s="35">
        <f t="shared" ref="R154" si="110">SUM(S154:U154)</f>
        <v>0</v>
      </c>
      <c r="S154" s="36"/>
      <c r="T154" s="36"/>
      <c r="U154" s="36"/>
      <c r="V154" s="46">
        <f>J154/F154</f>
        <v>0</v>
      </c>
      <c r="W154" s="110">
        <f t="shared" si="101"/>
        <v>9.7000000000000005E-4</v>
      </c>
    </row>
    <row r="155" spans="1:23" ht="33">
      <c r="A155" s="9" t="s">
        <v>245</v>
      </c>
      <c r="B155" s="24" t="s">
        <v>246</v>
      </c>
      <c r="C155" s="12" t="s">
        <v>18</v>
      </c>
      <c r="D155" s="12" t="s">
        <v>18</v>
      </c>
      <c r="E155" s="12" t="s">
        <v>18</v>
      </c>
      <c r="F155" s="35">
        <f>F157</f>
        <v>9750</v>
      </c>
      <c r="G155" s="35">
        <f t="shared" ref="G155:U155" si="111">G157</f>
        <v>9750</v>
      </c>
      <c r="H155" s="35">
        <f t="shared" si="111"/>
        <v>0</v>
      </c>
      <c r="I155" s="35">
        <f t="shared" si="111"/>
        <v>0</v>
      </c>
      <c r="J155" s="35">
        <f>J157</f>
        <v>0</v>
      </c>
      <c r="K155" s="35">
        <f t="shared" si="111"/>
        <v>0</v>
      </c>
      <c r="L155" s="35">
        <f t="shared" si="111"/>
        <v>0</v>
      </c>
      <c r="M155" s="35">
        <f>M157</f>
        <v>0</v>
      </c>
      <c r="N155" s="35">
        <f>N157</f>
        <v>1762.2</v>
      </c>
      <c r="O155" s="35">
        <f t="shared" si="111"/>
        <v>1762.2</v>
      </c>
      <c r="P155" s="35">
        <f t="shared" si="111"/>
        <v>0</v>
      </c>
      <c r="Q155" s="35">
        <f t="shared" si="111"/>
        <v>0</v>
      </c>
      <c r="R155" s="35">
        <f t="shared" si="111"/>
        <v>1762.2</v>
      </c>
      <c r="S155" s="35">
        <f t="shared" si="111"/>
        <v>1762.2</v>
      </c>
      <c r="T155" s="35">
        <f t="shared" si="111"/>
        <v>0</v>
      </c>
      <c r="U155" s="35">
        <f t="shared" si="111"/>
        <v>0</v>
      </c>
      <c r="V155" s="45">
        <f>J155/F155</f>
        <v>0</v>
      </c>
      <c r="W155" s="110">
        <f t="shared" si="101"/>
        <v>9.5E-4</v>
      </c>
    </row>
    <row r="156" spans="1:23" ht="17.25">
      <c r="A156" s="11"/>
      <c r="B156" s="25" t="s">
        <v>21</v>
      </c>
      <c r="C156" s="13"/>
      <c r="D156" s="13"/>
      <c r="E156" s="13"/>
      <c r="F156" s="35"/>
      <c r="G156" s="36"/>
      <c r="H156" s="36"/>
      <c r="I156" s="36"/>
      <c r="J156" s="35"/>
      <c r="K156" s="36"/>
      <c r="L156" s="36"/>
      <c r="M156" s="36"/>
      <c r="N156" s="35"/>
      <c r="O156" s="36"/>
      <c r="P156" s="36"/>
      <c r="Q156" s="36"/>
      <c r="R156" s="35"/>
      <c r="S156" s="36"/>
      <c r="T156" s="36"/>
      <c r="U156" s="36"/>
      <c r="V156" s="46"/>
      <c r="W156" s="110">
        <f t="shared" si="101"/>
        <v>0</v>
      </c>
    </row>
    <row r="157" spans="1:23" ht="99">
      <c r="A157" s="11"/>
      <c r="B157" s="26" t="s">
        <v>247</v>
      </c>
      <c r="C157" s="13">
        <v>810</v>
      </c>
      <c r="D157" s="14" t="s">
        <v>243</v>
      </c>
      <c r="E157" s="13" t="s">
        <v>248</v>
      </c>
      <c r="F157" s="35">
        <f>SUM(G157:H157)</f>
        <v>9750</v>
      </c>
      <c r="G157" s="36">
        <v>9750</v>
      </c>
      <c r="H157" s="36"/>
      <c r="I157" s="36"/>
      <c r="J157" s="35">
        <f>SUM(K157:L157)</f>
        <v>0</v>
      </c>
      <c r="K157" s="36"/>
      <c r="L157" s="36"/>
      <c r="M157" s="36"/>
      <c r="N157" s="35">
        <f>SUM(O157:P157)</f>
        <v>1762.2</v>
      </c>
      <c r="O157" s="36">
        <v>1762.2</v>
      </c>
      <c r="P157" s="36"/>
      <c r="Q157" s="36"/>
      <c r="R157" s="35">
        <f t="shared" ref="R157" si="112">SUM(S157:U157)</f>
        <v>1762.2</v>
      </c>
      <c r="S157" s="36">
        <v>1762.2</v>
      </c>
      <c r="T157" s="36"/>
      <c r="U157" s="36"/>
      <c r="V157" s="46">
        <f>J157/F157</f>
        <v>0</v>
      </c>
      <c r="W157" s="110">
        <f t="shared" si="101"/>
        <v>9.5E-4</v>
      </c>
    </row>
    <row r="158" spans="1:23" ht="33">
      <c r="A158" s="1" t="s">
        <v>249</v>
      </c>
      <c r="B158" s="32" t="s">
        <v>250</v>
      </c>
      <c r="C158" s="2" t="s">
        <v>18</v>
      </c>
      <c r="D158" s="2" t="s">
        <v>18</v>
      </c>
      <c r="E158" s="2" t="s">
        <v>18</v>
      </c>
      <c r="F158" s="34">
        <f>F159</f>
        <v>2613147.2000000002</v>
      </c>
      <c r="G158" s="34">
        <f t="shared" ref="G158:U158" si="113">G159</f>
        <v>523000</v>
      </c>
      <c r="H158" s="34">
        <f t="shared" si="113"/>
        <v>1821268.7</v>
      </c>
      <c r="I158" s="34">
        <f t="shared" si="113"/>
        <v>268878.5</v>
      </c>
      <c r="J158" s="34">
        <f t="shared" si="113"/>
        <v>2557080.7999999998</v>
      </c>
      <c r="K158" s="34">
        <f t="shared" si="113"/>
        <v>519727.1</v>
      </c>
      <c r="L158" s="34">
        <f t="shared" si="113"/>
        <v>1768568.7</v>
      </c>
      <c r="M158" s="34">
        <f t="shared" si="113"/>
        <v>268785</v>
      </c>
      <c r="N158" s="34">
        <f>N159</f>
        <v>2926723.1</v>
      </c>
      <c r="O158" s="34">
        <f t="shared" si="113"/>
        <v>1841058.6</v>
      </c>
      <c r="P158" s="34">
        <f t="shared" si="113"/>
        <v>680000</v>
      </c>
      <c r="Q158" s="34">
        <f t="shared" si="113"/>
        <v>405664.5</v>
      </c>
      <c r="R158" s="34">
        <f t="shared" si="113"/>
        <v>1455750.6</v>
      </c>
      <c r="S158" s="34">
        <f t="shared" si="113"/>
        <v>340000</v>
      </c>
      <c r="T158" s="34">
        <f t="shared" si="113"/>
        <v>680000</v>
      </c>
      <c r="U158" s="34">
        <f t="shared" si="113"/>
        <v>435750.6</v>
      </c>
      <c r="V158" s="44">
        <f>J158/F158</f>
        <v>0.97899999999999998</v>
      </c>
      <c r="W158" s="110">
        <f t="shared" si="101"/>
        <v>0.25352000000000002</v>
      </c>
    </row>
    <row r="159" spans="1:23" ht="33">
      <c r="A159" s="9" t="s">
        <v>251</v>
      </c>
      <c r="B159" s="24" t="s">
        <v>252</v>
      </c>
      <c r="C159" s="12" t="s">
        <v>18</v>
      </c>
      <c r="D159" s="12" t="s">
        <v>18</v>
      </c>
      <c r="E159" s="12" t="s">
        <v>18</v>
      </c>
      <c r="F159" s="35">
        <f>SUM(F161)</f>
        <v>2613147.2000000002</v>
      </c>
      <c r="G159" s="35">
        <f t="shared" ref="G159:I159" si="114">SUM(G161)</f>
        <v>523000</v>
      </c>
      <c r="H159" s="35">
        <f t="shared" si="114"/>
        <v>1821268.7</v>
      </c>
      <c r="I159" s="35">
        <f t="shared" si="114"/>
        <v>268878.5</v>
      </c>
      <c r="J159" s="35">
        <f>SUM(J161)</f>
        <v>2557080.7999999998</v>
      </c>
      <c r="K159" s="35">
        <f t="shared" ref="K159:U159" si="115">SUM(K161)</f>
        <v>519727.1</v>
      </c>
      <c r="L159" s="35">
        <f t="shared" si="115"/>
        <v>1768568.7</v>
      </c>
      <c r="M159" s="35">
        <f>M161</f>
        <v>268785</v>
      </c>
      <c r="N159" s="35">
        <f>SUM(N161)</f>
        <v>2926723.1</v>
      </c>
      <c r="O159" s="35">
        <f t="shared" si="115"/>
        <v>1841058.6</v>
      </c>
      <c r="P159" s="35">
        <f t="shared" si="115"/>
        <v>680000</v>
      </c>
      <c r="Q159" s="35">
        <f>Q161</f>
        <v>405664.5</v>
      </c>
      <c r="R159" s="35">
        <f>SUM(R161)</f>
        <v>1455750.6</v>
      </c>
      <c r="S159" s="35">
        <f t="shared" si="115"/>
        <v>340000</v>
      </c>
      <c r="T159" s="35">
        <f t="shared" si="115"/>
        <v>680000</v>
      </c>
      <c r="U159" s="35">
        <f t="shared" si="115"/>
        <v>435750.6</v>
      </c>
      <c r="V159" s="45">
        <f>J159/F159</f>
        <v>0.97899999999999998</v>
      </c>
      <c r="W159" s="110">
        <f t="shared" si="101"/>
        <v>0.25352000000000002</v>
      </c>
    </row>
    <row r="160" spans="1:23" ht="17.25">
      <c r="A160" s="11"/>
      <c r="B160" s="25" t="s">
        <v>21</v>
      </c>
      <c r="C160" s="13"/>
      <c r="D160" s="13"/>
      <c r="E160" s="13"/>
      <c r="F160" s="35"/>
      <c r="G160" s="36"/>
      <c r="H160" s="36"/>
      <c r="I160" s="36"/>
      <c r="J160" s="35"/>
      <c r="K160" s="36"/>
      <c r="L160" s="36"/>
      <c r="M160" s="36"/>
      <c r="N160" s="35"/>
      <c r="O160" s="36"/>
      <c r="P160" s="36"/>
      <c r="Q160" s="36"/>
      <c r="R160" s="35"/>
      <c r="S160" s="36"/>
      <c r="T160" s="36"/>
      <c r="U160" s="36"/>
      <c r="V160" s="46"/>
      <c r="W160" s="110">
        <f t="shared" si="101"/>
        <v>0</v>
      </c>
    </row>
    <row r="161" spans="1:23" ht="99">
      <c r="A161" s="11" t="s">
        <v>22</v>
      </c>
      <c r="B161" s="26" t="s">
        <v>253</v>
      </c>
      <c r="C161" s="13">
        <v>822</v>
      </c>
      <c r="D161" s="14" t="s">
        <v>254</v>
      </c>
      <c r="E161" s="13" t="s">
        <v>255</v>
      </c>
      <c r="F161" s="35">
        <f>G161+H161+I161</f>
        <v>2613147.2000000002</v>
      </c>
      <c r="G161" s="36">
        <f>450000+93000-20000</f>
        <v>523000</v>
      </c>
      <c r="H161" s="36">
        <f>1768568.7+52700</f>
        <v>1821268.7</v>
      </c>
      <c r="I161" s="36">
        <v>268878.5</v>
      </c>
      <c r="J161" s="35">
        <f>SUM(K161:L161)+M161</f>
        <v>2557080.7999999998</v>
      </c>
      <c r="K161" s="36">
        <v>519727.1</v>
      </c>
      <c r="L161" s="36">
        <v>1768568.7</v>
      </c>
      <c r="M161" s="36">
        <v>268785</v>
      </c>
      <c r="N161" s="35">
        <f>SUM(O161:P161)+Q161</f>
        <v>2926723.1</v>
      </c>
      <c r="O161" s="36">
        <f>340000+30500+1470558.6</f>
        <v>1841058.6</v>
      </c>
      <c r="P161" s="36">
        <v>680000</v>
      </c>
      <c r="Q161" s="36">
        <v>405664.5</v>
      </c>
      <c r="R161" s="35">
        <f t="shared" ref="R161" si="116">SUM(S161:U161)</f>
        <v>1455750.6</v>
      </c>
      <c r="S161" s="36">
        <v>340000</v>
      </c>
      <c r="T161" s="36">
        <v>680000</v>
      </c>
      <c r="U161" s="36">
        <v>435750.6</v>
      </c>
      <c r="V161" s="46">
        <f>J161/F161</f>
        <v>0.97899999999999998</v>
      </c>
      <c r="W161" s="110">
        <f t="shared" si="101"/>
        <v>0.25352000000000002</v>
      </c>
    </row>
    <row r="162" spans="1:23" ht="17.25">
      <c r="A162" s="1" t="s">
        <v>256</v>
      </c>
      <c r="B162" s="31" t="s">
        <v>257</v>
      </c>
      <c r="C162" s="2" t="s">
        <v>18</v>
      </c>
      <c r="D162" s="2" t="s">
        <v>18</v>
      </c>
      <c r="E162" s="2" t="s">
        <v>18</v>
      </c>
      <c r="F162" s="34">
        <f>F163+F167+F170</f>
        <v>147866.70000000001</v>
      </c>
      <c r="G162" s="34">
        <f t="shared" ref="G162:U162" si="117">G163+G167+G170</f>
        <v>45752</v>
      </c>
      <c r="H162" s="34">
        <f t="shared" si="117"/>
        <v>86496.9</v>
      </c>
      <c r="I162" s="34">
        <f t="shared" si="117"/>
        <v>15617.8</v>
      </c>
      <c r="J162" s="34">
        <f>J163+J167+J170</f>
        <v>147866.70000000001</v>
      </c>
      <c r="K162" s="34">
        <f t="shared" si="117"/>
        <v>45752</v>
      </c>
      <c r="L162" s="34">
        <f t="shared" si="117"/>
        <v>86496.9</v>
      </c>
      <c r="M162" s="34">
        <f t="shared" si="117"/>
        <v>15617.8</v>
      </c>
      <c r="N162" s="34">
        <f t="shared" si="117"/>
        <v>67093.3</v>
      </c>
      <c r="O162" s="34">
        <f t="shared" si="117"/>
        <v>33315.1</v>
      </c>
      <c r="P162" s="34">
        <f t="shared" si="117"/>
        <v>33218.199999999997</v>
      </c>
      <c r="Q162" s="34">
        <f t="shared" si="117"/>
        <v>560</v>
      </c>
      <c r="R162" s="34">
        <f>R163+R167+R170</f>
        <v>68350.600000000006</v>
      </c>
      <c r="S162" s="34">
        <f t="shared" si="117"/>
        <v>35664.1</v>
      </c>
      <c r="T162" s="34">
        <f t="shared" si="117"/>
        <v>32536.5</v>
      </c>
      <c r="U162" s="34">
        <f t="shared" si="117"/>
        <v>150</v>
      </c>
      <c r="V162" s="44">
        <f>J162/F162</f>
        <v>1</v>
      </c>
      <c r="W162" s="110">
        <f t="shared" si="101"/>
        <v>1.435E-2</v>
      </c>
    </row>
    <row r="163" spans="1:23" ht="33">
      <c r="A163" s="9" t="s">
        <v>258</v>
      </c>
      <c r="B163" s="24" t="s">
        <v>259</v>
      </c>
      <c r="C163" s="12" t="s">
        <v>18</v>
      </c>
      <c r="D163" s="12" t="s">
        <v>18</v>
      </c>
      <c r="E163" s="12" t="s">
        <v>18</v>
      </c>
      <c r="F163" s="35">
        <f>SUM(F165:F166)</f>
        <v>101344</v>
      </c>
      <c r="G163" s="35">
        <f t="shared" ref="G163:U163" si="118">SUM(G165:G166)</f>
        <v>7774.3</v>
      </c>
      <c r="H163" s="35">
        <f t="shared" si="118"/>
        <v>77956.899999999994</v>
      </c>
      <c r="I163" s="35">
        <f t="shared" si="118"/>
        <v>15612.8</v>
      </c>
      <c r="J163" s="35">
        <f>SUM(J165:J166)</f>
        <v>101344</v>
      </c>
      <c r="K163" s="35">
        <f t="shared" si="118"/>
        <v>7774.3</v>
      </c>
      <c r="L163" s="35">
        <f>SUM(L165:L166)</f>
        <v>77956.899999999994</v>
      </c>
      <c r="M163" s="35">
        <f>SUM(M165:M166)</f>
        <v>15612.8</v>
      </c>
      <c r="N163" s="35">
        <f>SUM(N165:N166)</f>
        <v>38093.300000000003</v>
      </c>
      <c r="O163" s="35">
        <f t="shared" si="118"/>
        <v>4315.1000000000004</v>
      </c>
      <c r="P163" s="35">
        <f t="shared" si="118"/>
        <v>33218.199999999997</v>
      </c>
      <c r="Q163" s="35">
        <f t="shared" si="118"/>
        <v>560</v>
      </c>
      <c r="R163" s="35">
        <f>SUM(R165:R166)</f>
        <v>39350.6</v>
      </c>
      <c r="S163" s="35">
        <f t="shared" si="118"/>
        <v>6664.1</v>
      </c>
      <c r="T163" s="35">
        <f t="shared" si="118"/>
        <v>32536.5</v>
      </c>
      <c r="U163" s="35">
        <f t="shared" si="118"/>
        <v>150</v>
      </c>
      <c r="V163" s="45">
        <f>J163/F163</f>
        <v>1</v>
      </c>
      <c r="W163" s="110">
        <f t="shared" si="101"/>
        <v>9.8300000000000002E-3</v>
      </c>
    </row>
    <row r="164" spans="1:23" ht="17.25">
      <c r="A164" s="11"/>
      <c r="B164" s="25" t="s">
        <v>21</v>
      </c>
      <c r="C164" s="13"/>
      <c r="D164" s="13"/>
      <c r="E164" s="13"/>
      <c r="F164" s="35"/>
      <c r="G164" s="36"/>
      <c r="H164" s="36"/>
      <c r="I164" s="36"/>
      <c r="J164" s="35"/>
      <c r="K164" s="36"/>
      <c r="L164" s="36"/>
      <c r="M164" s="36"/>
      <c r="N164" s="35"/>
      <c r="O164" s="36"/>
      <c r="P164" s="36"/>
      <c r="Q164" s="36"/>
      <c r="R164" s="35"/>
      <c r="S164" s="36"/>
      <c r="T164" s="36"/>
      <c r="U164" s="36"/>
      <c r="V164" s="46"/>
      <c r="W164" s="110">
        <f t="shared" si="101"/>
        <v>0</v>
      </c>
    </row>
    <row r="165" spans="1:23" ht="66">
      <c r="A165" s="11" t="s">
        <v>32</v>
      </c>
      <c r="B165" s="26" t="s">
        <v>260</v>
      </c>
      <c r="C165" s="13">
        <v>821</v>
      </c>
      <c r="D165" s="14" t="s">
        <v>34</v>
      </c>
      <c r="E165" s="13" t="s">
        <v>262</v>
      </c>
      <c r="F165" s="35">
        <f>G165+H165+I165</f>
        <v>59944.3</v>
      </c>
      <c r="G165" s="36">
        <v>7774.3</v>
      </c>
      <c r="H165" s="36">
        <v>37956.9</v>
      </c>
      <c r="I165" s="36">
        <v>14213.1</v>
      </c>
      <c r="J165" s="35">
        <f>SUM(K165:L165)+M165</f>
        <v>59944.3</v>
      </c>
      <c r="K165" s="36">
        <f>2620.9+343.91+4809.5</f>
        <v>7774.3</v>
      </c>
      <c r="L165" s="36">
        <f>12796.1+1679.09+23481.69</f>
        <v>37956.9</v>
      </c>
      <c r="M165" s="36">
        <v>14213.1</v>
      </c>
      <c r="N165" s="35">
        <f>SUM(O165:P165)</f>
        <v>37533.300000000003</v>
      </c>
      <c r="O165" s="36">
        <v>4315.1000000000004</v>
      </c>
      <c r="P165" s="36">
        <v>33218.199999999997</v>
      </c>
      <c r="Q165" s="36"/>
      <c r="R165" s="35">
        <f t="shared" ref="R165:R166" si="119">SUM(S165:U165)</f>
        <v>39350.6</v>
      </c>
      <c r="S165" s="36">
        <v>6664.1</v>
      </c>
      <c r="T165" s="36">
        <v>32536.5</v>
      </c>
      <c r="U165" s="36">
        <v>150</v>
      </c>
      <c r="V165" s="46">
        <f>J165/F165</f>
        <v>1</v>
      </c>
      <c r="W165" s="110">
        <f t="shared" si="101"/>
        <v>5.8199999999999997E-3</v>
      </c>
    </row>
    <row r="166" spans="1:23" ht="66">
      <c r="A166" s="11" t="s">
        <v>22</v>
      </c>
      <c r="B166" s="26" t="s">
        <v>340</v>
      </c>
      <c r="C166" s="13">
        <v>814</v>
      </c>
      <c r="D166" s="14" t="s">
        <v>261</v>
      </c>
      <c r="E166" s="13" t="s">
        <v>263</v>
      </c>
      <c r="F166" s="35">
        <f>G166+H166+I166</f>
        <v>41399.699999999997</v>
      </c>
      <c r="G166" s="36"/>
      <c r="H166" s="36">
        <v>40000</v>
      </c>
      <c r="I166" s="36">
        <v>1399.7</v>
      </c>
      <c r="J166" s="35">
        <f>SUM(K166:L166)+M166</f>
        <v>41399.699999999997</v>
      </c>
      <c r="K166" s="36"/>
      <c r="L166" s="36">
        <f>35490.8+4469.24+10+30</f>
        <v>40000</v>
      </c>
      <c r="M166" s="36">
        <v>1399.7</v>
      </c>
      <c r="N166" s="35">
        <f>SUM(O166:P166)+Q166</f>
        <v>560</v>
      </c>
      <c r="O166" s="36"/>
      <c r="P166" s="36"/>
      <c r="Q166" s="36">
        <v>560</v>
      </c>
      <c r="R166" s="35">
        <f t="shared" si="119"/>
        <v>0</v>
      </c>
      <c r="S166" s="36"/>
      <c r="T166" s="36"/>
      <c r="U166" s="36"/>
      <c r="V166" s="46">
        <f>J166/F166</f>
        <v>1</v>
      </c>
      <c r="W166" s="110">
        <f t="shared" si="101"/>
        <v>4.0200000000000001E-3</v>
      </c>
    </row>
    <row r="167" spans="1:23" ht="33">
      <c r="A167" s="9" t="s">
        <v>264</v>
      </c>
      <c r="B167" s="24" t="s">
        <v>265</v>
      </c>
      <c r="C167" s="12" t="s">
        <v>18</v>
      </c>
      <c r="D167" s="12" t="s">
        <v>18</v>
      </c>
      <c r="E167" s="12" t="s">
        <v>18</v>
      </c>
      <c r="F167" s="35">
        <f>F169</f>
        <v>8545</v>
      </c>
      <c r="G167" s="35">
        <f t="shared" ref="G167:U167" si="120">G169</f>
        <v>0</v>
      </c>
      <c r="H167" s="35">
        <f t="shared" si="120"/>
        <v>8540</v>
      </c>
      <c r="I167" s="35">
        <f t="shared" si="120"/>
        <v>5</v>
      </c>
      <c r="J167" s="35">
        <f>J169</f>
        <v>8545</v>
      </c>
      <c r="K167" s="35">
        <f t="shared" si="120"/>
        <v>0</v>
      </c>
      <c r="L167" s="35">
        <f t="shared" si="120"/>
        <v>8540</v>
      </c>
      <c r="M167" s="35">
        <f>M169</f>
        <v>5</v>
      </c>
      <c r="N167" s="35">
        <f>N169</f>
        <v>0</v>
      </c>
      <c r="O167" s="35">
        <f t="shared" si="120"/>
        <v>0</v>
      </c>
      <c r="P167" s="35">
        <f t="shared" si="120"/>
        <v>0</v>
      </c>
      <c r="Q167" s="35">
        <f t="shared" si="120"/>
        <v>0</v>
      </c>
      <c r="R167" s="35">
        <f>R169</f>
        <v>0</v>
      </c>
      <c r="S167" s="35">
        <f t="shared" si="120"/>
        <v>0</v>
      </c>
      <c r="T167" s="35">
        <f t="shared" si="120"/>
        <v>0</v>
      </c>
      <c r="U167" s="35">
        <f t="shared" si="120"/>
        <v>0</v>
      </c>
      <c r="V167" s="45">
        <f>J167/F167</f>
        <v>1</v>
      </c>
      <c r="W167" s="110">
        <f t="shared" si="101"/>
        <v>8.3000000000000001E-4</v>
      </c>
    </row>
    <row r="168" spans="1:23" ht="17.25">
      <c r="A168" s="11"/>
      <c r="B168" s="28" t="s">
        <v>21</v>
      </c>
      <c r="C168" s="13"/>
      <c r="D168" s="14"/>
      <c r="E168" s="13"/>
      <c r="F168" s="35"/>
      <c r="G168" s="36"/>
      <c r="H168" s="36"/>
      <c r="I168" s="36"/>
      <c r="J168" s="35"/>
      <c r="K168" s="36"/>
      <c r="L168" s="36"/>
      <c r="M168" s="36"/>
      <c r="N168" s="35"/>
      <c r="O168" s="36"/>
      <c r="P168" s="36"/>
      <c r="Q168" s="36"/>
      <c r="R168" s="35"/>
      <c r="S168" s="36"/>
      <c r="T168" s="36"/>
      <c r="U168" s="36"/>
      <c r="V168" s="46"/>
      <c r="W168" s="110">
        <f t="shared" si="101"/>
        <v>0</v>
      </c>
    </row>
    <row r="169" spans="1:23" ht="49.5">
      <c r="A169" s="11" t="s">
        <v>22</v>
      </c>
      <c r="B169" s="26" t="s">
        <v>266</v>
      </c>
      <c r="C169" s="13">
        <v>814</v>
      </c>
      <c r="D169" s="14" t="s">
        <v>261</v>
      </c>
      <c r="E169" s="13" t="s">
        <v>267</v>
      </c>
      <c r="F169" s="35">
        <f>G169+H169+I169</f>
        <v>8545</v>
      </c>
      <c r="G169" s="36"/>
      <c r="H169" s="36">
        <v>8540</v>
      </c>
      <c r="I169" s="36">
        <v>5</v>
      </c>
      <c r="J169" s="35">
        <f>SUM(K169:L169)+M169</f>
        <v>8545</v>
      </c>
      <c r="K169" s="36"/>
      <c r="L169" s="36">
        <v>8540</v>
      </c>
      <c r="M169" s="36">
        <v>5</v>
      </c>
      <c r="N169" s="35">
        <f>SUM(O169:P169)</f>
        <v>0</v>
      </c>
      <c r="O169" s="36"/>
      <c r="P169" s="36"/>
      <c r="Q169" s="36"/>
      <c r="R169" s="35">
        <f t="shared" ref="R169" si="121">SUM(S169:U169)</f>
        <v>0</v>
      </c>
      <c r="S169" s="36"/>
      <c r="T169" s="36"/>
      <c r="U169" s="36"/>
      <c r="V169" s="46">
        <f>J169/F169</f>
        <v>1</v>
      </c>
      <c r="W169" s="110">
        <f t="shared" si="101"/>
        <v>8.3000000000000001E-4</v>
      </c>
    </row>
    <row r="170" spans="1:23" ht="33">
      <c r="A170" s="9" t="s">
        <v>268</v>
      </c>
      <c r="B170" s="24" t="s">
        <v>269</v>
      </c>
      <c r="C170" s="12" t="s">
        <v>18</v>
      </c>
      <c r="D170" s="12" t="s">
        <v>18</v>
      </c>
      <c r="E170" s="12" t="s">
        <v>18</v>
      </c>
      <c r="F170" s="35">
        <f>SUM(F172:F173)</f>
        <v>37977.699999999997</v>
      </c>
      <c r="G170" s="35">
        <f t="shared" ref="G170:U170" si="122">SUM(G172:G173)</f>
        <v>37977.699999999997</v>
      </c>
      <c r="H170" s="35">
        <f t="shared" si="122"/>
        <v>0</v>
      </c>
      <c r="I170" s="35">
        <f t="shared" si="122"/>
        <v>0</v>
      </c>
      <c r="J170" s="35">
        <f t="shared" si="122"/>
        <v>37977.699999999997</v>
      </c>
      <c r="K170" s="35">
        <f t="shared" si="122"/>
        <v>37977.699999999997</v>
      </c>
      <c r="L170" s="35">
        <f t="shared" si="122"/>
        <v>0</v>
      </c>
      <c r="M170" s="35">
        <f>SUM(M172:M173)</f>
        <v>0</v>
      </c>
      <c r="N170" s="35">
        <f>SUM(N172:N173)</f>
        <v>29000</v>
      </c>
      <c r="O170" s="35">
        <f t="shared" si="122"/>
        <v>29000</v>
      </c>
      <c r="P170" s="35">
        <f t="shared" si="122"/>
        <v>0</v>
      </c>
      <c r="Q170" s="35">
        <f t="shared" si="122"/>
        <v>0</v>
      </c>
      <c r="R170" s="35">
        <f>SUM(R172:R173)</f>
        <v>29000</v>
      </c>
      <c r="S170" s="35">
        <f t="shared" si="122"/>
        <v>29000</v>
      </c>
      <c r="T170" s="35">
        <f t="shared" si="122"/>
        <v>0</v>
      </c>
      <c r="U170" s="35">
        <f t="shared" si="122"/>
        <v>0</v>
      </c>
      <c r="V170" s="45">
        <f>J170/F170</f>
        <v>1</v>
      </c>
      <c r="W170" s="110">
        <f t="shared" si="101"/>
        <v>3.6800000000000001E-3</v>
      </c>
    </row>
    <row r="171" spans="1:23" ht="17.25">
      <c r="A171" s="11"/>
      <c r="B171" s="26" t="s">
        <v>21</v>
      </c>
      <c r="C171" s="13"/>
      <c r="D171" s="14"/>
      <c r="E171" s="13"/>
      <c r="F171" s="35"/>
      <c r="G171" s="36"/>
      <c r="H171" s="36"/>
      <c r="I171" s="36"/>
      <c r="J171" s="35"/>
      <c r="K171" s="36"/>
      <c r="L171" s="36"/>
      <c r="M171" s="36"/>
      <c r="N171" s="35"/>
      <c r="O171" s="36"/>
      <c r="P171" s="36"/>
      <c r="Q171" s="36"/>
      <c r="R171" s="35"/>
      <c r="S171" s="36"/>
      <c r="T171" s="36"/>
      <c r="U171" s="36"/>
      <c r="V171" s="46"/>
      <c r="W171" s="110">
        <f t="shared" si="101"/>
        <v>0</v>
      </c>
    </row>
    <row r="172" spans="1:23" ht="49.5">
      <c r="A172" s="11"/>
      <c r="B172" s="26" t="s">
        <v>270</v>
      </c>
      <c r="C172" s="13">
        <v>814</v>
      </c>
      <c r="D172" s="14" t="s">
        <v>261</v>
      </c>
      <c r="E172" s="13" t="s">
        <v>271</v>
      </c>
      <c r="F172" s="35">
        <f>SUM(G172:H172)</f>
        <v>11658.9</v>
      </c>
      <c r="G172" s="36">
        <v>11658.9</v>
      </c>
      <c r="H172" s="36"/>
      <c r="I172" s="36"/>
      <c r="J172" s="35">
        <f>SUM(K172:L172)</f>
        <v>11658.9</v>
      </c>
      <c r="K172" s="36">
        <v>11658.9</v>
      </c>
      <c r="L172" s="36"/>
      <c r="M172" s="36"/>
      <c r="N172" s="35">
        <f>SUM(O172:P172)</f>
        <v>13000</v>
      </c>
      <c r="O172" s="36">
        <v>13000</v>
      </c>
      <c r="P172" s="36"/>
      <c r="Q172" s="36"/>
      <c r="R172" s="35">
        <f t="shared" ref="R172:R173" si="123">SUM(S172:U172)</f>
        <v>13000</v>
      </c>
      <c r="S172" s="36">
        <v>13000</v>
      </c>
      <c r="T172" s="36"/>
      <c r="U172" s="36"/>
      <c r="V172" s="46">
        <f>J172/F172</f>
        <v>1</v>
      </c>
      <c r="W172" s="110">
        <f t="shared" si="101"/>
        <v>1.1299999999999999E-3</v>
      </c>
    </row>
    <row r="173" spans="1:23" ht="66">
      <c r="A173" s="11"/>
      <c r="B173" s="26" t="s">
        <v>272</v>
      </c>
      <c r="C173" s="13">
        <v>814</v>
      </c>
      <c r="D173" s="14" t="s">
        <v>261</v>
      </c>
      <c r="E173" s="13" t="s">
        <v>273</v>
      </c>
      <c r="F173" s="35">
        <f>SUM(G173:H173)</f>
        <v>26318.799999999999</v>
      </c>
      <c r="G173" s="36">
        <f>26500-181.25</f>
        <v>26318.799999999999</v>
      </c>
      <c r="H173" s="36"/>
      <c r="I173" s="36"/>
      <c r="J173" s="35">
        <f>SUM(K173:L173)</f>
        <v>26318.799999999999</v>
      </c>
      <c r="K173" s="36">
        <f>26078.9+239.89</f>
        <v>26318.799999999999</v>
      </c>
      <c r="L173" s="36"/>
      <c r="M173" s="36"/>
      <c r="N173" s="35">
        <f>SUM(O173:P173)</f>
        <v>16000</v>
      </c>
      <c r="O173" s="36">
        <v>16000</v>
      </c>
      <c r="P173" s="36"/>
      <c r="Q173" s="36"/>
      <c r="R173" s="35">
        <f t="shared" si="123"/>
        <v>16000</v>
      </c>
      <c r="S173" s="36">
        <v>16000</v>
      </c>
      <c r="T173" s="36"/>
      <c r="U173" s="36"/>
      <c r="V173" s="46">
        <f>J173/F173</f>
        <v>1</v>
      </c>
      <c r="W173" s="110">
        <f t="shared" si="101"/>
        <v>2.5500000000000002E-3</v>
      </c>
    </row>
    <row r="174" spans="1:23" ht="66">
      <c r="A174" s="1" t="s">
        <v>274</v>
      </c>
      <c r="B174" s="32" t="s">
        <v>275</v>
      </c>
      <c r="C174" s="2" t="s">
        <v>18</v>
      </c>
      <c r="D174" s="2" t="s">
        <v>18</v>
      </c>
      <c r="E174" s="2" t="s">
        <v>18</v>
      </c>
      <c r="F174" s="34">
        <f t="shared" ref="F174:U174" si="124">F175+F179+F185+F188</f>
        <v>213819.9</v>
      </c>
      <c r="G174" s="34">
        <f t="shared" si="124"/>
        <v>7645.5</v>
      </c>
      <c r="H174" s="34">
        <f t="shared" si="124"/>
        <v>205631.8</v>
      </c>
      <c r="I174" s="34">
        <f t="shared" si="124"/>
        <v>542.6</v>
      </c>
      <c r="J174" s="34">
        <f t="shared" si="124"/>
        <v>202003.7</v>
      </c>
      <c r="K174" s="34">
        <f t="shared" si="124"/>
        <v>6738.7</v>
      </c>
      <c r="L174" s="34">
        <f t="shared" si="124"/>
        <v>195265</v>
      </c>
      <c r="M174" s="34">
        <f t="shared" si="124"/>
        <v>0</v>
      </c>
      <c r="N174" s="34">
        <f t="shared" ref="N174" si="125">N175+N179+N185+N188</f>
        <v>83994.5</v>
      </c>
      <c r="O174" s="34">
        <f t="shared" si="124"/>
        <v>3767</v>
      </c>
      <c r="P174" s="34">
        <f t="shared" si="124"/>
        <v>80227.5</v>
      </c>
      <c r="Q174" s="34">
        <f t="shared" si="124"/>
        <v>0</v>
      </c>
      <c r="R174" s="34">
        <f t="shared" ref="R174" si="126">R175+R179+R185+R188</f>
        <v>130919.6</v>
      </c>
      <c r="S174" s="34">
        <f t="shared" si="124"/>
        <v>5174.7</v>
      </c>
      <c r="T174" s="34">
        <f t="shared" si="124"/>
        <v>125744.9</v>
      </c>
      <c r="U174" s="34">
        <f t="shared" si="124"/>
        <v>0</v>
      </c>
      <c r="V174" s="44">
        <f>J174/F174</f>
        <v>0.94499999999999995</v>
      </c>
      <c r="W174" s="110">
        <f t="shared" si="101"/>
        <v>2.0740000000000001E-2</v>
      </c>
    </row>
    <row r="175" spans="1:23" ht="82.5">
      <c r="A175" s="9" t="s">
        <v>276</v>
      </c>
      <c r="B175" s="24" t="s">
        <v>277</v>
      </c>
      <c r="C175" s="12" t="s">
        <v>18</v>
      </c>
      <c r="D175" s="12" t="s">
        <v>18</v>
      </c>
      <c r="E175" s="12" t="s">
        <v>18</v>
      </c>
      <c r="F175" s="35">
        <f>SUM(F177:F178)</f>
        <v>16405.099999999999</v>
      </c>
      <c r="G175" s="35">
        <f t="shared" ref="G175:U175" si="127">SUM(G177:G178)</f>
        <v>492.2</v>
      </c>
      <c r="H175" s="35">
        <f t="shared" si="127"/>
        <v>15912.9</v>
      </c>
      <c r="I175" s="35">
        <f t="shared" si="127"/>
        <v>0</v>
      </c>
      <c r="J175" s="35">
        <f t="shared" si="127"/>
        <v>16405.099999999999</v>
      </c>
      <c r="K175" s="35">
        <f t="shared" si="127"/>
        <v>492.2</v>
      </c>
      <c r="L175" s="35">
        <f t="shared" si="127"/>
        <v>15912.9</v>
      </c>
      <c r="M175" s="35">
        <f>SUM(M177:M178)</f>
        <v>0</v>
      </c>
      <c r="N175" s="35">
        <f>SUM(N177:N178)</f>
        <v>14683</v>
      </c>
      <c r="O175" s="35">
        <f t="shared" si="127"/>
        <v>440.5</v>
      </c>
      <c r="P175" s="35">
        <f t="shared" si="127"/>
        <v>14242.5</v>
      </c>
      <c r="Q175" s="35">
        <f t="shared" si="127"/>
        <v>0</v>
      </c>
      <c r="R175" s="35">
        <f>SUM(R177:R178)</f>
        <v>30590.799999999999</v>
      </c>
      <c r="S175" s="35">
        <f t="shared" si="127"/>
        <v>917.7</v>
      </c>
      <c r="T175" s="35">
        <f t="shared" si="127"/>
        <v>29673.1</v>
      </c>
      <c r="U175" s="35">
        <f t="shared" si="127"/>
        <v>0</v>
      </c>
      <c r="V175" s="45">
        <f>J175/F175</f>
        <v>1</v>
      </c>
      <c r="W175" s="110">
        <f t="shared" si="101"/>
        <v>1.5900000000000001E-3</v>
      </c>
    </row>
    <row r="176" spans="1:23" ht="17.25">
      <c r="A176" s="11"/>
      <c r="B176" s="28" t="s">
        <v>21</v>
      </c>
      <c r="C176" s="13"/>
      <c r="D176" s="13"/>
      <c r="E176" s="13"/>
      <c r="F176" s="35"/>
      <c r="G176" s="36"/>
      <c r="H176" s="36"/>
      <c r="I176" s="36"/>
      <c r="J176" s="35"/>
      <c r="K176" s="36"/>
      <c r="L176" s="36"/>
      <c r="M176" s="36"/>
      <c r="N176" s="35"/>
      <c r="O176" s="36"/>
      <c r="P176" s="36"/>
      <c r="Q176" s="36"/>
      <c r="R176" s="35"/>
      <c r="S176" s="36"/>
      <c r="T176" s="36"/>
      <c r="U176" s="36"/>
      <c r="V176" s="46"/>
      <c r="W176" s="110">
        <f t="shared" si="101"/>
        <v>0</v>
      </c>
    </row>
    <row r="177" spans="1:23" ht="99">
      <c r="A177" s="11" t="s">
        <v>32</v>
      </c>
      <c r="B177" s="26" t="s">
        <v>278</v>
      </c>
      <c r="C177" s="13">
        <v>840</v>
      </c>
      <c r="D177" s="14" t="s">
        <v>181</v>
      </c>
      <c r="E177" s="13" t="s">
        <v>279</v>
      </c>
      <c r="F177" s="35">
        <f>SUM(G177:H177)</f>
        <v>0</v>
      </c>
      <c r="G177" s="36"/>
      <c r="H177" s="36"/>
      <c r="I177" s="36"/>
      <c r="J177" s="35">
        <f>SUM(K177:L177)</f>
        <v>0</v>
      </c>
      <c r="K177" s="36"/>
      <c r="L177" s="36"/>
      <c r="M177" s="36"/>
      <c r="N177" s="35">
        <f>SUM(O177:P177)</f>
        <v>11543.6</v>
      </c>
      <c r="O177" s="36">
        <f>564-217.69</f>
        <v>346.3</v>
      </c>
      <c r="P177" s="36">
        <f>18240.3-7043</f>
        <v>11197.3</v>
      </c>
      <c r="Q177" s="36"/>
      <c r="R177" s="35">
        <f t="shared" ref="R177:R178" si="128">SUM(S177:U177)</f>
        <v>25412.3</v>
      </c>
      <c r="S177" s="36">
        <f>745.8+16.57</f>
        <v>762.4</v>
      </c>
      <c r="T177" s="36">
        <f>24113+536.9</f>
        <v>24649.9</v>
      </c>
      <c r="U177" s="36"/>
      <c r="V177" s="46"/>
      <c r="W177" s="110">
        <f t="shared" si="101"/>
        <v>0</v>
      </c>
    </row>
    <row r="178" spans="1:23" ht="99">
      <c r="A178" s="11" t="s">
        <v>32</v>
      </c>
      <c r="B178" s="26" t="s">
        <v>280</v>
      </c>
      <c r="C178" s="13">
        <v>840</v>
      </c>
      <c r="D178" s="14" t="s">
        <v>181</v>
      </c>
      <c r="E178" s="13" t="s">
        <v>281</v>
      </c>
      <c r="F178" s="35">
        <f>SUM(G178:H178)</f>
        <v>16405.099999999999</v>
      </c>
      <c r="G178" s="36">
        <v>492.2</v>
      </c>
      <c r="H178" s="36">
        <v>15912.9</v>
      </c>
      <c r="I178" s="36"/>
      <c r="J178" s="35">
        <f>SUM(K178:L178)</f>
        <v>16405.099999999999</v>
      </c>
      <c r="K178" s="36">
        <f>368.8+123.39</f>
        <v>492.2</v>
      </c>
      <c r="L178" s="36">
        <f>11923.3+3989.6</f>
        <v>15912.9</v>
      </c>
      <c r="M178" s="36"/>
      <c r="N178" s="35">
        <f>SUM(O178:P178)</f>
        <v>3139.4</v>
      </c>
      <c r="O178" s="36">
        <f>165.4-71.22</f>
        <v>94.2</v>
      </c>
      <c r="P178" s="36">
        <v>3045.2</v>
      </c>
      <c r="Q178" s="36"/>
      <c r="R178" s="35">
        <f t="shared" si="128"/>
        <v>5178.5</v>
      </c>
      <c r="S178" s="36">
        <f>155.3</f>
        <v>155.30000000000001</v>
      </c>
      <c r="T178" s="36">
        <v>5023.2</v>
      </c>
      <c r="U178" s="36"/>
      <c r="V178" s="46">
        <f>J178/F178</f>
        <v>1</v>
      </c>
      <c r="W178" s="110">
        <f t="shared" si="101"/>
        <v>1.5900000000000001E-3</v>
      </c>
    </row>
    <row r="179" spans="1:23" ht="49.5">
      <c r="A179" s="9" t="s">
        <v>282</v>
      </c>
      <c r="B179" s="24" t="s">
        <v>283</v>
      </c>
      <c r="C179" s="12" t="s">
        <v>18</v>
      </c>
      <c r="D179" s="12" t="s">
        <v>18</v>
      </c>
      <c r="E179" s="12" t="s">
        <v>18</v>
      </c>
      <c r="F179" s="35">
        <f>SUM(F181:F184)</f>
        <v>160995.9</v>
      </c>
      <c r="G179" s="35">
        <f t="shared" ref="G179:U179" si="129">SUM(G181:G184)</f>
        <v>4813.6000000000004</v>
      </c>
      <c r="H179" s="35">
        <f t="shared" si="129"/>
        <v>155639.70000000001</v>
      </c>
      <c r="I179" s="35">
        <f t="shared" si="129"/>
        <v>542.6</v>
      </c>
      <c r="J179" s="35">
        <f t="shared" si="129"/>
        <v>150144</v>
      </c>
      <c r="K179" s="35">
        <f t="shared" si="129"/>
        <v>4504.3</v>
      </c>
      <c r="L179" s="35">
        <f t="shared" si="129"/>
        <v>145639.70000000001</v>
      </c>
      <c r="M179" s="35">
        <f>SUM(M181:M184)</f>
        <v>0</v>
      </c>
      <c r="N179" s="35">
        <f>SUM(N181:N184)</f>
        <v>35513.4</v>
      </c>
      <c r="O179" s="35">
        <f t="shared" si="129"/>
        <v>1065.4000000000001</v>
      </c>
      <c r="P179" s="35">
        <f t="shared" si="129"/>
        <v>34448</v>
      </c>
      <c r="Q179" s="35">
        <f t="shared" si="129"/>
        <v>0</v>
      </c>
      <c r="R179" s="35">
        <f>SUM(R181:R184)</f>
        <v>69303.600000000006</v>
      </c>
      <c r="S179" s="35">
        <f t="shared" si="129"/>
        <v>2079.1</v>
      </c>
      <c r="T179" s="35">
        <f t="shared" si="129"/>
        <v>67224.5</v>
      </c>
      <c r="U179" s="35">
        <f t="shared" si="129"/>
        <v>0</v>
      </c>
      <c r="V179" s="45">
        <f>J179/F179</f>
        <v>0.93300000000000005</v>
      </c>
      <c r="W179" s="110">
        <f t="shared" si="101"/>
        <v>1.562E-2</v>
      </c>
    </row>
    <row r="180" spans="1:23" ht="17.25">
      <c r="A180" s="11"/>
      <c r="B180" s="28" t="s">
        <v>21</v>
      </c>
      <c r="C180" s="13"/>
      <c r="D180" s="13"/>
      <c r="E180" s="13"/>
      <c r="F180" s="35"/>
      <c r="G180" s="36"/>
      <c r="H180" s="36"/>
      <c r="I180" s="36"/>
      <c r="J180" s="35"/>
      <c r="K180" s="36"/>
      <c r="L180" s="36"/>
      <c r="M180" s="36"/>
      <c r="N180" s="35"/>
      <c r="O180" s="36"/>
      <c r="P180" s="36"/>
      <c r="Q180" s="36"/>
      <c r="R180" s="35"/>
      <c r="S180" s="36"/>
      <c r="T180" s="36"/>
      <c r="U180" s="36"/>
      <c r="V180" s="46"/>
      <c r="W180" s="110">
        <f t="shared" si="101"/>
        <v>0</v>
      </c>
    </row>
    <row r="181" spans="1:23" ht="99">
      <c r="A181" s="11" t="s">
        <v>32</v>
      </c>
      <c r="B181" s="26" t="s">
        <v>278</v>
      </c>
      <c r="C181" s="13">
        <v>840</v>
      </c>
      <c r="D181" s="14" t="s">
        <v>181</v>
      </c>
      <c r="E181" s="13" t="s">
        <v>284</v>
      </c>
      <c r="F181" s="35">
        <f>SUM(G181:H181)</f>
        <v>114390.3</v>
      </c>
      <c r="G181" s="36">
        <v>3431.7</v>
      </c>
      <c r="H181" s="36">
        <v>110958.6</v>
      </c>
      <c r="I181" s="36"/>
      <c r="J181" s="35">
        <f>SUM(K181:L181)</f>
        <v>114390.3</v>
      </c>
      <c r="K181" s="36">
        <v>3431.7</v>
      </c>
      <c r="L181" s="36">
        <v>110958.6</v>
      </c>
      <c r="M181" s="36"/>
      <c r="N181" s="35">
        <f>SUM(O181:P181)</f>
        <v>31070.400000000001</v>
      </c>
      <c r="O181" s="36">
        <f>1244.5-312.38</f>
        <v>932.1</v>
      </c>
      <c r="P181" s="36">
        <f>40235.4-10097.1</f>
        <v>30138.3</v>
      </c>
      <c r="Q181" s="36"/>
      <c r="R181" s="35">
        <f t="shared" ref="R181:R184" si="130">SUM(S181:U181)</f>
        <v>47680.1</v>
      </c>
      <c r="S181" s="36">
        <v>1430.4</v>
      </c>
      <c r="T181" s="36">
        <v>46249.7</v>
      </c>
      <c r="U181" s="36"/>
      <c r="V181" s="46">
        <f>J181/F181</f>
        <v>1</v>
      </c>
      <c r="W181" s="110">
        <f t="shared" si="101"/>
        <v>1.11E-2</v>
      </c>
    </row>
    <row r="182" spans="1:23" ht="99">
      <c r="A182" s="11" t="s">
        <v>32</v>
      </c>
      <c r="B182" s="26" t="s">
        <v>285</v>
      </c>
      <c r="C182" s="13">
        <v>840</v>
      </c>
      <c r="D182" s="14" t="s">
        <v>181</v>
      </c>
      <c r="E182" s="13" t="s">
        <v>286</v>
      </c>
      <c r="F182" s="35">
        <f>G182+H182+I182</f>
        <v>10851.9</v>
      </c>
      <c r="G182" s="36">
        <v>309.3</v>
      </c>
      <c r="H182" s="36">
        <f>10000.02-0.02</f>
        <v>10000</v>
      </c>
      <c r="I182" s="36">
        <v>542.6</v>
      </c>
      <c r="J182" s="35">
        <f>SUM(K182:L182)</f>
        <v>0</v>
      </c>
      <c r="K182" s="36"/>
      <c r="L182" s="36"/>
      <c r="M182" s="36"/>
      <c r="N182" s="35">
        <f>SUM(O182:P182)</f>
        <v>4443</v>
      </c>
      <c r="O182" s="36">
        <f>176-42.71</f>
        <v>133.30000000000001</v>
      </c>
      <c r="P182" s="36">
        <f>5693.6-1383.9</f>
        <v>4309.7</v>
      </c>
      <c r="Q182" s="36"/>
      <c r="R182" s="35">
        <f t="shared" si="130"/>
        <v>21623.5</v>
      </c>
      <c r="S182" s="36">
        <v>648.70000000000005</v>
      </c>
      <c r="T182" s="36">
        <v>20974.799999999999</v>
      </c>
      <c r="U182" s="36"/>
      <c r="V182" s="46">
        <f>J182/F182</f>
        <v>0</v>
      </c>
      <c r="W182" s="110">
        <f t="shared" si="101"/>
        <v>1.0499999999999999E-3</v>
      </c>
    </row>
    <row r="183" spans="1:23" ht="99">
      <c r="A183" s="11" t="s">
        <v>32</v>
      </c>
      <c r="B183" s="26" t="s">
        <v>287</v>
      </c>
      <c r="C183" s="13">
        <v>840</v>
      </c>
      <c r="D183" s="14" t="s">
        <v>181</v>
      </c>
      <c r="E183" s="13" t="s">
        <v>288</v>
      </c>
      <c r="F183" s="35">
        <f>SUM(G183:H183)</f>
        <v>7628.9</v>
      </c>
      <c r="G183" s="36">
        <v>228.9</v>
      </c>
      <c r="H183" s="36">
        <v>7400</v>
      </c>
      <c r="I183" s="36"/>
      <c r="J183" s="35">
        <f>SUM(K183:L183)</f>
        <v>7628.9</v>
      </c>
      <c r="K183" s="36">
        <v>228.9</v>
      </c>
      <c r="L183" s="36">
        <v>7400</v>
      </c>
      <c r="M183" s="36"/>
      <c r="N183" s="35">
        <f>SUM(O183:P183)</f>
        <v>0</v>
      </c>
      <c r="O183" s="36"/>
      <c r="P183" s="36"/>
      <c r="Q183" s="36"/>
      <c r="R183" s="35">
        <f t="shared" si="130"/>
        <v>0</v>
      </c>
      <c r="S183" s="36"/>
      <c r="T183" s="36"/>
      <c r="U183" s="36"/>
      <c r="V183" s="46">
        <f>J183/F183</f>
        <v>1</v>
      </c>
      <c r="W183" s="110">
        <f t="shared" si="101"/>
        <v>7.3999999999999999E-4</v>
      </c>
    </row>
    <row r="184" spans="1:23" ht="99">
      <c r="A184" s="11" t="s">
        <v>32</v>
      </c>
      <c r="B184" s="26" t="s">
        <v>289</v>
      </c>
      <c r="C184" s="13">
        <v>840</v>
      </c>
      <c r="D184" s="14" t="s">
        <v>181</v>
      </c>
      <c r="E184" s="13" t="s">
        <v>290</v>
      </c>
      <c r="F184" s="35">
        <f>SUM(G184:H184)</f>
        <v>28124.799999999999</v>
      </c>
      <c r="G184" s="36">
        <v>843.7</v>
      </c>
      <c r="H184" s="36">
        <v>27281.1</v>
      </c>
      <c r="I184" s="36"/>
      <c r="J184" s="35">
        <f>SUM(K184:L184)</f>
        <v>28124.799999999999</v>
      </c>
      <c r="K184" s="36">
        <v>843.7</v>
      </c>
      <c r="L184" s="36">
        <v>27281.1</v>
      </c>
      <c r="M184" s="36"/>
      <c r="N184" s="35">
        <f>SUM(O184:P184)</f>
        <v>0</v>
      </c>
      <c r="O184" s="36"/>
      <c r="P184" s="36"/>
      <c r="Q184" s="36"/>
      <c r="R184" s="35">
        <f t="shared" si="130"/>
        <v>0</v>
      </c>
      <c r="S184" s="36"/>
      <c r="T184" s="36"/>
      <c r="U184" s="36"/>
      <c r="V184" s="46">
        <f>J184/F184</f>
        <v>1</v>
      </c>
      <c r="W184" s="110">
        <f t="shared" si="101"/>
        <v>2.7299999999999998E-3</v>
      </c>
    </row>
    <row r="185" spans="1:23" ht="33">
      <c r="A185" s="9" t="s">
        <v>291</v>
      </c>
      <c r="B185" s="24" t="s">
        <v>292</v>
      </c>
      <c r="C185" s="12" t="s">
        <v>18</v>
      </c>
      <c r="D185" s="8" t="s">
        <v>18</v>
      </c>
      <c r="E185" s="12" t="s">
        <v>18</v>
      </c>
      <c r="F185" s="35">
        <f>F187</f>
        <v>9090.4</v>
      </c>
      <c r="G185" s="35">
        <f t="shared" ref="G185:U185" si="131">G187</f>
        <v>272.7</v>
      </c>
      <c r="H185" s="35">
        <f t="shared" si="131"/>
        <v>8817.7000000000007</v>
      </c>
      <c r="I185" s="35">
        <f t="shared" si="131"/>
        <v>0</v>
      </c>
      <c r="J185" s="35">
        <f t="shared" si="131"/>
        <v>9090.4</v>
      </c>
      <c r="K185" s="35">
        <f t="shared" si="131"/>
        <v>272.7</v>
      </c>
      <c r="L185" s="35">
        <f t="shared" si="131"/>
        <v>8817.7000000000007</v>
      </c>
      <c r="M185" s="35">
        <f>M187</f>
        <v>0</v>
      </c>
      <c r="N185" s="35">
        <f>N187</f>
        <v>4545.3</v>
      </c>
      <c r="O185" s="35">
        <f t="shared" si="131"/>
        <v>136.4</v>
      </c>
      <c r="P185" s="35">
        <f t="shared" si="131"/>
        <v>4408.8999999999996</v>
      </c>
      <c r="Q185" s="35">
        <f t="shared" si="131"/>
        <v>0</v>
      </c>
      <c r="R185" s="35">
        <f>R187</f>
        <v>4545.3</v>
      </c>
      <c r="S185" s="35">
        <f t="shared" si="131"/>
        <v>136.4</v>
      </c>
      <c r="T185" s="35">
        <f t="shared" si="131"/>
        <v>4408.8999999999996</v>
      </c>
      <c r="U185" s="35">
        <f t="shared" si="131"/>
        <v>0</v>
      </c>
      <c r="V185" s="45">
        <f>J185/F185</f>
        <v>1</v>
      </c>
      <c r="W185" s="110">
        <f t="shared" si="101"/>
        <v>8.8000000000000003E-4</v>
      </c>
    </row>
    <row r="186" spans="1:23" ht="17.25">
      <c r="A186" s="11"/>
      <c r="B186" s="28" t="s">
        <v>21</v>
      </c>
      <c r="C186" s="13"/>
      <c r="D186" s="14"/>
      <c r="E186" s="13"/>
      <c r="F186" s="35"/>
      <c r="G186" s="36"/>
      <c r="H186" s="36"/>
      <c r="I186" s="36"/>
      <c r="J186" s="35"/>
      <c r="K186" s="36"/>
      <c r="L186" s="36"/>
      <c r="M186" s="36"/>
      <c r="N186" s="35"/>
      <c r="O186" s="36"/>
      <c r="P186" s="36"/>
      <c r="Q186" s="36"/>
      <c r="R186" s="35"/>
      <c r="S186" s="36"/>
      <c r="T186" s="36"/>
      <c r="U186" s="36"/>
      <c r="V186" s="46"/>
      <c r="W186" s="110">
        <f t="shared" si="101"/>
        <v>0</v>
      </c>
    </row>
    <row r="187" spans="1:23" ht="99">
      <c r="A187" s="11" t="s">
        <v>32</v>
      </c>
      <c r="B187" s="26" t="s">
        <v>278</v>
      </c>
      <c r="C187" s="13">
        <v>840</v>
      </c>
      <c r="D187" s="14" t="s">
        <v>181</v>
      </c>
      <c r="E187" s="13" t="s">
        <v>293</v>
      </c>
      <c r="F187" s="35">
        <f>SUM(G187:H187)</f>
        <v>9090.4</v>
      </c>
      <c r="G187" s="36">
        <f>136.4+136.31</f>
        <v>272.7</v>
      </c>
      <c r="H187" s="36">
        <f>4408.9-0.1+4408.9</f>
        <v>8817.7000000000007</v>
      </c>
      <c r="I187" s="36"/>
      <c r="J187" s="35">
        <f>SUM(K187:L187)</f>
        <v>9090.4</v>
      </c>
      <c r="K187" s="36">
        <v>272.7</v>
      </c>
      <c r="L187" s="36">
        <v>8817.7000000000007</v>
      </c>
      <c r="M187" s="36"/>
      <c r="N187" s="35">
        <f>SUM(O187:P187)</f>
        <v>4545.3</v>
      </c>
      <c r="O187" s="36">
        <v>136.4</v>
      </c>
      <c r="P187" s="36">
        <v>4408.8999999999996</v>
      </c>
      <c r="Q187" s="36"/>
      <c r="R187" s="35">
        <f t="shared" ref="R187" si="132">SUM(S187:U187)</f>
        <v>4545.3</v>
      </c>
      <c r="S187" s="36">
        <v>136.4</v>
      </c>
      <c r="T187" s="36">
        <v>4408.8999999999996</v>
      </c>
      <c r="U187" s="36"/>
      <c r="V187" s="46">
        <f>J187/F187</f>
        <v>1</v>
      </c>
      <c r="W187" s="110">
        <f t="shared" si="101"/>
        <v>8.8000000000000003E-4</v>
      </c>
    </row>
    <row r="188" spans="1:23" ht="49.5">
      <c r="A188" s="9" t="s">
        <v>294</v>
      </c>
      <c r="B188" s="24" t="s">
        <v>295</v>
      </c>
      <c r="C188" s="12" t="s">
        <v>18</v>
      </c>
      <c r="D188" s="8" t="s">
        <v>18</v>
      </c>
      <c r="E188" s="12" t="s">
        <v>18</v>
      </c>
      <c r="F188" s="35">
        <f>SUM(F190:F193)</f>
        <v>27328.5</v>
      </c>
      <c r="G188" s="35">
        <f t="shared" ref="G188:J188" si="133">SUM(G190:G193)</f>
        <v>2067</v>
      </c>
      <c r="H188" s="35">
        <f t="shared" si="133"/>
        <v>25261.5</v>
      </c>
      <c r="I188" s="35">
        <f t="shared" si="133"/>
        <v>0</v>
      </c>
      <c r="J188" s="35">
        <f t="shared" si="133"/>
        <v>26364.2</v>
      </c>
      <c r="K188" s="35">
        <f t="shared" ref="K188:U188" si="134">K190+K191+K192+K193</f>
        <v>1469.5</v>
      </c>
      <c r="L188" s="35">
        <f t="shared" si="134"/>
        <v>24894.7</v>
      </c>
      <c r="M188" s="35">
        <f>SUM(M190:M193)</f>
        <v>0</v>
      </c>
      <c r="N188" s="35">
        <f>SUM(N190:N193)</f>
        <v>29252.799999999999</v>
      </c>
      <c r="O188" s="35">
        <f t="shared" si="134"/>
        <v>2124.6999999999998</v>
      </c>
      <c r="P188" s="35">
        <f t="shared" si="134"/>
        <v>27128.1</v>
      </c>
      <c r="Q188" s="35"/>
      <c r="R188" s="35">
        <f>SUM(R190:R193)</f>
        <v>26479.9</v>
      </c>
      <c r="S188" s="35">
        <f t="shared" si="134"/>
        <v>2041.5</v>
      </c>
      <c r="T188" s="35">
        <f t="shared" si="134"/>
        <v>24438.400000000001</v>
      </c>
      <c r="U188" s="35">
        <f t="shared" si="134"/>
        <v>0</v>
      </c>
      <c r="V188" s="45">
        <f>J188/F188</f>
        <v>0.96499999999999997</v>
      </c>
      <c r="W188" s="110">
        <f t="shared" si="101"/>
        <v>2.65E-3</v>
      </c>
    </row>
    <row r="189" spans="1:23" ht="17.25">
      <c r="A189" s="11"/>
      <c r="B189" s="26" t="s">
        <v>21</v>
      </c>
      <c r="C189" s="13"/>
      <c r="D189" s="14"/>
      <c r="E189" s="13"/>
      <c r="F189" s="35"/>
      <c r="G189" s="36"/>
      <c r="H189" s="36"/>
      <c r="I189" s="36"/>
      <c r="J189" s="35"/>
      <c r="K189" s="36"/>
      <c r="L189" s="36"/>
      <c r="M189" s="36"/>
      <c r="N189" s="35"/>
      <c r="O189" s="36"/>
      <c r="P189" s="36"/>
      <c r="Q189" s="36"/>
      <c r="R189" s="35"/>
      <c r="S189" s="36"/>
      <c r="T189" s="36"/>
      <c r="U189" s="36"/>
      <c r="V189" s="46"/>
      <c r="W189" s="110">
        <f t="shared" si="101"/>
        <v>0</v>
      </c>
    </row>
    <row r="190" spans="1:23" ht="82.5">
      <c r="A190" s="11"/>
      <c r="B190" s="26" t="s">
        <v>296</v>
      </c>
      <c r="C190" s="13">
        <v>817</v>
      </c>
      <c r="D190" s="14" t="s">
        <v>297</v>
      </c>
      <c r="E190" s="13" t="s">
        <v>298</v>
      </c>
      <c r="F190" s="35">
        <f>SUM(G190:H190)</f>
        <v>0</v>
      </c>
      <c r="G190" s="36">
        <f>781.28-781.28</f>
        <v>0</v>
      </c>
      <c r="H190" s="36"/>
      <c r="I190" s="36"/>
      <c r="J190" s="35">
        <f>SUM(K190:L190)</f>
        <v>0</v>
      </c>
      <c r="K190" s="36"/>
      <c r="L190" s="36"/>
      <c r="M190" s="36"/>
      <c r="N190" s="35">
        <f>SUM(O190:P190)</f>
        <v>0</v>
      </c>
      <c r="O190" s="36">
        <f>839.01-839.01</f>
        <v>0</v>
      </c>
      <c r="P190" s="36"/>
      <c r="Q190" s="36"/>
      <c r="R190" s="35">
        <f t="shared" ref="R190:R193" si="135">SUM(S190:U190)</f>
        <v>0</v>
      </c>
      <c r="S190" s="36">
        <f>755.83-755.83</f>
        <v>0</v>
      </c>
      <c r="T190" s="36"/>
      <c r="U190" s="36"/>
      <c r="V190" s="46"/>
      <c r="W190" s="110">
        <f t="shared" si="101"/>
        <v>0</v>
      </c>
    </row>
    <row r="191" spans="1:23" ht="82.5">
      <c r="A191" s="11"/>
      <c r="B191" s="26" t="s">
        <v>299</v>
      </c>
      <c r="C191" s="13">
        <v>817</v>
      </c>
      <c r="D191" s="14" t="s">
        <v>297</v>
      </c>
      <c r="E191" s="13" t="s">
        <v>300</v>
      </c>
      <c r="F191" s="35">
        <f>SUM(G191:H191)</f>
        <v>24926.799999999999</v>
      </c>
      <c r="G191" s="36">
        <v>747.8</v>
      </c>
      <c r="H191" s="36">
        <v>24179</v>
      </c>
      <c r="I191" s="36"/>
      <c r="J191" s="35">
        <f>SUM(K191:L191)</f>
        <v>24926.799999999999</v>
      </c>
      <c r="K191" s="36">
        <v>747.8</v>
      </c>
      <c r="L191" s="36">
        <v>24179</v>
      </c>
      <c r="M191" s="36"/>
      <c r="N191" s="35">
        <f>SUM(O191:P191)</f>
        <v>24874.3</v>
      </c>
      <c r="O191" s="36">
        <v>746.2</v>
      </c>
      <c r="P191" s="36">
        <v>24128.1</v>
      </c>
      <c r="Q191" s="36"/>
      <c r="R191" s="35">
        <f t="shared" si="135"/>
        <v>22101.4</v>
      </c>
      <c r="S191" s="36">
        <v>663</v>
      </c>
      <c r="T191" s="36">
        <v>21438.400000000001</v>
      </c>
      <c r="U191" s="36"/>
      <c r="V191" s="46">
        <f>J191/F191</f>
        <v>1</v>
      </c>
      <c r="W191" s="110">
        <f t="shared" si="101"/>
        <v>2.4199999999999998E-3</v>
      </c>
    </row>
    <row r="192" spans="1:23" ht="82.5">
      <c r="A192" s="11"/>
      <c r="B192" s="26" t="s">
        <v>301</v>
      </c>
      <c r="C192" s="13">
        <v>817</v>
      </c>
      <c r="D192" s="14" t="s">
        <v>297</v>
      </c>
      <c r="E192" s="13" t="s">
        <v>302</v>
      </c>
      <c r="F192" s="35">
        <f>SUM(G192:H192)</f>
        <v>1116</v>
      </c>
      <c r="G192" s="36">
        <v>33.5</v>
      </c>
      <c r="H192" s="36">
        <v>1082.5</v>
      </c>
      <c r="I192" s="36"/>
      <c r="J192" s="35">
        <f>SUM(K192:L192)</f>
        <v>737.8</v>
      </c>
      <c r="K192" s="36">
        <f>15.8+6.33</f>
        <v>22.1</v>
      </c>
      <c r="L192" s="36">
        <f>511+204.67</f>
        <v>715.7</v>
      </c>
      <c r="M192" s="36"/>
      <c r="N192" s="35">
        <f>SUM(O192:P192)</f>
        <v>3092.8</v>
      </c>
      <c r="O192" s="36">
        <v>92.8</v>
      </c>
      <c r="P192" s="36">
        <v>3000</v>
      </c>
      <c r="Q192" s="36"/>
      <c r="R192" s="35">
        <f t="shared" si="135"/>
        <v>3092.8</v>
      </c>
      <c r="S192" s="36">
        <v>92.8</v>
      </c>
      <c r="T192" s="36">
        <v>3000</v>
      </c>
      <c r="U192" s="36"/>
      <c r="V192" s="46">
        <f>J192/F192</f>
        <v>0.66100000000000003</v>
      </c>
      <c r="W192" s="110">
        <f t="shared" si="101"/>
        <v>1.1E-4</v>
      </c>
    </row>
    <row r="193" spans="1:23" ht="82.5">
      <c r="A193" s="11"/>
      <c r="B193" s="26" t="s">
        <v>301</v>
      </c>
      <c r="C193" s="13">
        <v>817</v>
      </c>
      <c r="D193" s="14" t="s">
        <v>297</v>
      </c>
      <c r="E193" s="11" t="s">
        <v>303</v>
      </c>
      <c r="F193" s="35">
        <f>SUM(G193:H193)</f>
        <v>1285.7</v>
      </c>
      <c r="G193" s="36">
        <v>1285.7</v>
      </c>
      <c r="H193" s="36"/>
      <c r="I193" s="36"/>
      <c r="J193" s="35">
        <f>SUM(K193:L193)</f>
        <v>699.6</v>
      </c>
      <c r="K193" s="36">
        <v>699.58</v>
      </c>
      <c r="L193" s="36"/>
      <c r="M193" s="36"/>
      <c r="N193" s="35">
        <f>SUM(O193:P193)</f>
        <v>1285.7</v>
      </c>
      <c r="O193" s="36">
        <v>1285.7</v>
      </c>
      <c r="P193" s="36"/>
      <c r="Q193" s="36"/>
      <c r="R193" s="35">
        <f t="shared" si="135"/>
        <v>1285.7</v>
      </c>
      <c r="S193" s="36">
        <v>1285.7</v>
      </c>
      <c r="T193" s="36"/>
      <c r="U193" s="36"/>
      <c r="V193" s="46">
        <f>J193/F193</f>
        <v>0.54400000000000004</v>
      </c>
      <c r="W193" s="110">
        <f t="shared" si="101"/>
        <v>1.2E-4</v>
      </c>
    </row>
    <row r="194" spans="1:23" ht="49.5">
      <c r="A194" s="1" t="s">
        <v>304</v>
      </c>
      <c r="B194" s="32" t="s">
        <v>305</v>
      </c>
      <c r="C194" s="2" t="s">
        <v>18</v>
      </c>
      <c r="D194" s="2" t="s">
        <v>18</v>
      </c>
      <c r="E194" s="2" t="s">
        <v>18</v>
      </c>
      <c r="F194" s="34">
        <f t="shared" ref="F194:U194" si="136">F195+F201</f>
        <v>84989.8</v>
      </c>
      <c r="G194" s="34">
        <f t="shared" si="136"/>
        <v>11735.7</v>
      </c>
      <c r="H194" s="34">
        <f t="shared" si="136"/>
        <v>73254.100000000006</v>
      </c>
      <c r="I194" s="34">
        <f t="shared" si="136"/>
        <v>0</v>
      </c>
      <c r="J194" s="34">
        <f t="shared" si="136"/>
        <v>20974</v>
      </c>
      <c r="K194" s="34">
        <f t="shared" si="136"/>
        <v>10028.200000000001</v>
      </c>
      <c r="L194" s="34">
        <f t="shared" si="136"/>
        <v>10945.8</v>
      </c>
      <c r="M194" s="34">
        <f t="shared" si="136"/>
        <v>0</v>
      </c>
      <c r="N194" s="34">
        <f t="shared" si="136"/>
        <v>0</v>
      </c>
      <c r="O194" s="34">
        <f t="shared" si="136"/>
        <v>0</v>
      </c>
      <c r="P194" s="34">
        <f t="shared" si="136"/>
        <v>0</v>
      </c>
      <c r="Q194" s="34">
        <f t="shared" si="136"/>
        <v>0</v>
      </c>
      <c r="R194" s="34">
        <f t="shared" si="136"/>
        <v>0</v>
      </c>
      <c r="S194" s="34">
        <f t="shared" si="136"/>
        <v>0</v>
      </c>
      <c r="T194" s="34">
        <f t="shared" si="136"/>
        <v>0</v>
      </c>
      <c r="U194" s="34">
        <f t="shared" si="136"/>
        <v>0</v>
      </c>
      <c r="V194" s="44">
        <f>J194/F194</f>
        <v>0.247</v>
      </c>
      <c r="W194" s="110">
        <f t="shared" si="101"/>
        <v>8.2500000000000004E-3</v>
      </c>
    </row>
    <row r="195" spans="1:23" ht="66">
      <c r="A195" s="9" t="s">
        <v>306</v>
      </c>
      <c r="B195" s="24" t="s">
        <v>307</v>
      </c>
      <c r="C195" s="12" t="s">
        <v>18</v>
      </c>
      <c r="D195" s="12" t="s">
        <v>18</v>
      </c>
      <c r="E195" s="12" t="s">
        <v>18</v>
      </c>
      <c r="F195" s="35">
        <f>SUM(F197:F200)</f>
        <v>38275.800000000003</v>
      </c>
      <c r="G195" s="35">
        <f>SUM(G197:G200)</f>
        <v>9400</v>
      </c>
      <c r="H195" s="35">
        <f>SUM(H197:H200)</f>
        <v>28875.8</v>
      </c>
      <c r="I195" s="35">
        <f>SUM(I197:I200)</f>
        <v>0</v>
      </c>
      <c r="J195" s="35">
        <f>SUM(J197:J200)</f>
        <v>13900</v>
      </c>
      <c r="K195" s="35">
        <f t="shared" ref="K195:U195" si="137">SUM(K197:K200)</f>
        <v>9400</v>
      </c>
      <c r="L195" s="35">
        <f t="shared" si="137"/>
        <v>4500</v>
      </c>
      <c r="M195" s="35">
        <f>SUM(M197:M200)</f>
        <v>0</v>
      </c>
      <c r="N195" s="35">
        <f>SUM(N197:N200)</f>
        <v>0</v>
      </c>
      <c r="O195" s="35">
        <f t="shared" si="137"/>
        <v>0</v>
      </c>
      <c r="P195" s="35">
        <f t="shared" si="137"/>
        <v>0</v>
      </c>
      <c r="Q195" s="35">
        <f t="shared" si="137"/>
        <v>0</v>
      </c>
      <c r="R195" s="35">
        <f>SUM(R197:R200)</f>
        <v>0</v>
      </c>
      <c r="S195" s="35">
        <f t="shared" si="137"/>
        <v>0</v>
      </c>
      <c r="T195" s="35">
        <f t="shared" si="137"/>
        <v>0</v>
      </c>
      <c r="U195" s="35">
        <f t="shared" si="137"/>
        <v>0</v>
      </c>
      <c r="V195" s="45">
        <f>J195/F195</f>
        <v>0.36299999999999999</v>
      </c>
      <c r="W195" s="110">
        <f t="shared" si="101"/>
        <v>3.7100000000000002E-3</v>
      </c>
    </row>
    <row r="196" spans="1:23" ht="17.25">
      <c r="A196" s="11"/>
      <c r="B196" s="28" t="s">
        <v>21</v>
      </c>
      <c r="C196" s="13"/>
      <c r="D196" s="13"/>
      <c r="E196" s="13"/>
      <c r="F196" s="35"/>
      <c r="G196" s="36"/>
      <c r="H196" s="36"/>
      <c r="I196" s="36"/>
      <c r="J196" s="35"/>
      <c r="K196" s="36"/>
      <c r="L196" s="36"/>
      <c r="M196" s="36"/>
      <c r="N196" s="35"/>
      <c r="O196" s="36"/>
      <c r="P196" s="36"/>
      <c r="Q196" s="36"/>
      <c r="R196" s="35"/>
      <c r="S196" s="36"/>
      <c r="T196" s="36"/>
      <c r="U196" s="36"/>
      <c r="V196" s="46"/>
      <c r="W196" s="110">
        <f t="shared" si="101"/>
        <v>0</v>
      </c>
    </row>
    <row r="197" spans="1:23" ht="99">
      <c r="A197" s="11"/>
      <c r="B197" s="26" t="s">
        <v>308</v>
      </c>
      <c r="C197" s="13">
        <v>840</v>
      </c>
      <c r="D197" s="14" t="s">
        <v>181</v>
      </c>
      <c r="E197" s="13" t="s">
        <v>309</v>
      </c>
      <c r="F197" s="35">
        <f>SUM(G197:H197)</f>
        <v>26875.8</v>
      </c>
      <c r="G197" s="36">
        <v>2500</v>
      </c>
      <c r="H197" s="36">
        <v>24375.8</v>
      </c>
      <c r="I197" s="36"/>
      <c r="J197" s="35">
        <f>SUM(K197:L197)</f>
        <v>7000</v>
      </c>
      <c r="K197" s="36">
        <v>2500</v>
      </c>
      <c r="L197" s="36">
        <v>4500</v>
      </c>
      <c r="M197" s="36"/>
      <c r="N197" s="35">
        <f>SUM(O197:P197)</f>
        <v>0</v>
      </c>
      <c r="O197" s="36"/>
      <c r="P197" s="36"/>
      <c r="Q197" s="36"/>
      <c r="R197" s="35">
        <f t="shared" ref="R197:R200" si="138">SUM(S197:U197)</f>
        <v>0</v>
      </c>
      <c r="S197" s="36"/>
      <c r="T197" s="36"/>
      <c r="U197" s="36"/>
      <c r="V197" s="46">
        <f>J197/F197</f>
        <v>0.26</v>
      </c>
      <c r="W197" s="110">
        <f t="shared" si="101"/>
        <v>2.6099999999999999E-3</v>
      </c>
    </row>
    <row r="198" spans="1:23" ht="82.5">
      <c r="A198" s="11"/>
      <c r="B198" s="26" t="s">
        <v>308</v>
      </c>
      <c r="C198" s="13">
        <v>816</v>
      </c>
      <c r="D198" s="14" t="s">
        <v>131</v>
      </c>
      <c r="E198" s="13" t="s">
        <v>309</v>
      </c>
      <c r="F198" s="35">
        <f>SUM(G198:H198)</f>
        <v>4500</v>
      </c>
      <c r="G198" s="36"/>
      <c r="H198" s="36">
        <v>4500</v>
      </c>
      <c r="I198" s="36"/>
      <c r="J198" s="35">
        <f>SUM(K198:L198)</f>
        <v>0</v>
      </c>
      <c r="K198" s="36"/>
      <c r="L198" s="36"/>
      <c r="M198" s="36"/>
      <c r="N198" s="35"/>
      <c r="O198" s="36"/>
      <c r="P198" s="36"/>
      <c r="Q198" s="36"/>
      <c r="R198" s="35"/>
      <c r="S198" s="36"/>
      <c r="T198" s="36"/>
      <c r="U198" s="36"/>
      <c r="V198" s="46"/>
      <c r="W198" s="110">
        <f t="shared" si="101"/>
        <v>4.4000000000000002E-4</v>
      </c>
    </row>
    <row r="199" spans="1:23" ht="99">
      <c r="A199" s="11"/>
      <c r="B199" s="26" t="s">
        <v>310</v>
      </c>
      <c r="C199" s="13">
        <v>816</v>
      </c>
      <c r="D199" s="14" t="s">
        <v>131</v>
      </c>
      <c r="E199" s="13" t="s">
        <v>311</v>
      </c>
      <c r="F199" s="35">
        <f>SUM(G199:H199)</f>
        <v>0</v>
      </c>
      <c r="G199" s="36">
        <f>6900-6900</f>
        <v>0</v>
      </c>
      <c r="H199" s="36"/>
      <c r="I199" s="36"/>
      <c r="J199" s="35">
        <f>SUM(K199:L199)</f>
        <v>0</v>
      </c>
      <c r="K199" s="36"/>
      <c r="L199" s="36"/>
      <c r="M199" s="36"/>
      <c r="N199" s="35">
        <f>SUM(O199:P199)</f>
        <v>0</v>
      </c>
      <c r="O199" s="36"/>
      <c r="P199" s="36"/>
      <c r="Q199" s="36"/>
      <c r="R199" s="35">
        <f t="shared" si="138"/>
        <v>0</v>
      </c>
      <c r="S199" s="36"/>
      <c r="T199" s="36"/>
      <c r="U199" s="36"/>
      <c r="V199" s="46"/>
      <c r="W199" s="110">
        <f t="shared" si="101"/>
        <v>0</v>
      </c>
    </row>
    <row r="200" spans="1:23" ht="99">
      <c r="A200" s="11"/>
      <c r="B200" s="26" t="s">
        <v>310</v>
      </c>
      <c r="C200" s="13">
        <v>816</v>
      </c>
      <c r="D200" s="14" t="s">
        <v>131</v>
      </c>
      <c r="E200" s="13" t="s">
        <v>312</v>
      </c>
      <c r="F200" s="35">
        <f>SUM(G200:H200)</f>
        <v>6900</v>
      </c>
      <c r="G200" s="36">
        <v>6900</v>
      </c>
      <c r="H200" s="36"/>
      <c r="I200" s="36"/>
      <c r="J200" s="35">
        <f>SUM(K200:L200)</f>
        <v>6900</v>
      </c>
      <c r="K200" s="36">
        <f>2079.62+1193.42+2697.24+898.01+31.71</f>
        <v>6900</v>
      </c>
      <c r="L200" s="36"/>
      <c r="M200" s="36"/>
      <c r="N200" s="35">
        <f>SUM(O200:P200)</f>
        <v>0</v>
      </c>
      <c r="O200" s="36"/>
      <c r="P200" s="36"/>
      <c r="Q200" s="36"/>
      <c r="R200" s="35">
        <f t="shared" si="138"/>
        <v>0</v>
      </c>
      <c r="S200" s="36"/>
      <c r="T200" s="36"/>
      <c r="U200" s="36"/>
      <c r="V200" s="46">
        <f>J200/F200</f>
        <v>1</v>
      </c>
      <c r="W200" s="110">
        <f t="shared" si="101"/>
        <v>6.7000000000000002E-4</v>
      </c>
    </row>
    <row r="201" spans="1:23" ht="66">
      <c r="A201" s="58" t="s">
        <v>313</v>
      </c>
      <c r="B201" s="24" t="s">
        <v>314</v>
      </c>
      <c r="C201" s="12" t="s">
        <v>18</v>
      </c>
      <c r="D201" s="12" t="s">
        <v>18</v>
      </c>
      <c r="E201" s="59" t="s">
        <v>18</v>
      </c>
      <c r="F201" s="35">
        <f>SUM(F203:F204)</f>
        <v>46714</v>
      </c>
      <c r="G201" s="35">
        <f t="shared" ref="G201:U201" si="139">SUM(G203:G204)</f>
        <v>2335.6999999999998</v>
      </c>
      <c r="H201" s="35">
        <f t="shared" si="139"/>
        <v>44378.3</v>
      </c>
      <c r="I201" s="35">
        <f t="shared" si="139"/>
        <v>0</v>
      </c>
      <c r="J201" s="35">
        <f>SUM(J203:J204)</f>
        <v>7074</v>
      </c>
      <c r="K201" s="35">
        <f t="shared" si="139"/>
        <v>628.20000000000005</v>
      </c>
      <c r="L201" s="35">
        <f t="shared" si="139"/>
        <v>6445.8</v>
      </c>
      <c r="M201" s="35">
        <f>SUM(M203:M204)</f>
        <v>0</v>
      </c>
      <c r="N201" s="35">
        <f>SUM(N203:N204)</f>
        <v>0</v>
      </c>
      <c r="O201" s="35">
        <f t="shared" si="139"/>
        <v>0</v>
      </c>
      <c r="P201" s="35">
        <f t="shared" si="139"/>
        <v>0</v>
      </c>
      <c r="Q201" s="35">
        <f t="shared" si="139"/>
        <v>0</v>
      </c>
      <c r="R201" s="35">
        <f>SUM(R203:R204)</f>
        <v>0</v>
      </c>
      <c r="S201" s="35">
        <f t="shared" si="139"/>
        <v>0</v>
      </c>
      <c r="T201" s="35">
        <f t="shared" si="139"/>
        <v>0</v>
      </c>
      <c r="U201" s="35">
        <f t="shared" si="139"/>
        <v>0</v>
      </c>
      <c r="V201" s="45">
        <f>J201/F201</f>
        <v>0.151</v>
      </c>
      <c r="W201" s="110">
        <f t="shared" ref="W201:W204" si="140">F201/$F$8</f>
        <v>4.5300000000000002E-3</v>
      </c>
    </row>
    <row r="202" spans="1:23" ht="17.25">
      <c r="A202" s="11"/>
      <c r="B202" s="28" t="s">
        <v>21</v>
      </c>
      <c r="C202" s="13"/>
      <c r="D202" s="14"/>
      <c r="E202" s="13"/>
      <c r="F202" s="35"/>
      <c r="G202" s="36"/>
      <c r="H202" s="36"/>
      <c r="I202" s="36"/>
      <c r="J202" s="35"/>
      <c r="K202" s="36"/>
      <c r="L202" s="36"/>
      <c r="M202" s="36"/>
      <c r="N202" s="35"/>
      <c r="O202" s="36"/>
      <c r="P202" s="36"/>
      <c r="Q202" s="36"/>
      <c r="R202" s="35"/>
      <c r="S202" s="36"/>
      <c r="T202" s="36"/>
      <c r="U202" s="36"/>
      <c r="V202" s="46"/>
      <c r="W202" s="110">
        <f t="shared" si="140"/>
        <v>0</v>
      </c>
    </row>
    <row r="203" spans="1:23" ht="66">
      <c r="A203" s="11" t="s">
        <v>22</v>
      </c>
      <c r="B203" s="26" t="s">
        <v>315</v>
      </c>
      <c r="C203" s="13">
        <v>839</v>
      </c>
      <c r="D203" s="14" t="s">
        <v>24</v>
      </c>
      <c r="E203" s="13" t="s">
        <v>316</v>
      </c>
      <c r="F203" s="35">
        <f>SUM(G203:H203)</f>
        <v>19124.8</v>
      </c>
      <c r="G203" s="36">
        <v>956.3</v>
      </c>
      <c r="H203" s="36">
        <v>18168.5</v>
      </c>
      <c r="I203" s="36"/>
      <c r="J203" s="35">
        <f>SUM(K203:L203)</f>
        <v>1844.2</v>
      </c>
      <c r="K203" s="36">
        <f>15+3.09+22.96+17.14+304.3+4.25</f>
        <v>366.7</v>
      </c>
      <c r="L203" s="36">
        <f>285.6+58.68+436.18+325.62+290.7+80.75</f>
        <v>1477.5</v>
      </c>
      <c r="M203" s="36"/>
      <c r="N203" s="35">
        <f>SUM(O203:P203)</f>
        <v>0</v>
      </c>
      <c r="O203" s="36"/>
      <c r="P203" s="36"/>
      <c r="Q203" s="36"/>
      <c r="R203" s="35">
        <f t="shared" ref="R203:R204" si="141">SUM(S203:U203)</f>
        <v>0</v>
      </c>
      <c r="S203" s="36"/>
      <c r="T203" s="36"/>
      <c r="U203" s="36"/>
      <c r="V203" s="46">
        <f>J203/F203</f>
        <v>9.6000000000000002E-2</v>
      </c>
      <c r="W203" s="110">
        <f t="shared" si="140"/>
        <v>1.8600000000000001E-3</v>
      </c>
    </row>
    <row r="204" spans="1:23" ht="115.5">
      <c r="A204" s="11" t="s">
        <v>22</v>
      </c>
      <c r="B204" s="26" t="s">
        <v>317</v>
      </c>
      <c r="C204" s="13">
        <v>839</v>
      </c>
      <c r="D204" s="14" t="s">
        <v>24</v>
      </c>
      <c r="E204" s="13" t="s">
        <v>318</v>
      </c>
      <c r="F204" s="35">
        <f>SUM(G204:H204)</f>
        <v>27589.200000000001</v>
      </c>
      <c r="G204" s="36">
        <v>1379.4</v>
      </c>
      <c r="H204" s="36">
        <v>26209.8</v>
      </c>
      <c r="I204" s="36"/>
      <c r="J204" s="35">
        <f>SUM(K204:L204)</f>
        <v>5229.8</v>
      </c>
      <c r="K204" s="36">
        <f>90.3+5.39+14.98+150.83</f>
        <v>261.5</v>
      </c>
      <c r="L204" s="36">
        <f>1715.5+102.41+284.62+2865.77</f>
        <v>4968.3</v>
      </c>
      <c r="M204" s="36"/>
      <c r="N204" s="35">
        <f>SUM(O204:P204)</f>
        <v>0</v>
      </c>
      <c r="O204" s="36"/>
      <c r="P204" s="36"/>
      <c r="Q204" s="36"/>
      <c r="R204" s="35">
        <f t="shared" si="141"/>
        <v>0</v>
      </c>
      <c r="S204" s="36"/>
      <c r="T204" s="36"/>
      <c r="U204" s="36"/>
      <c r="V204" s="46">
        <f>J204/F204</f>
        <v>0.19</v>
      </c>
      <c r="W204" s="110">
        <f t="shared" si="140"/>
        <v>2.6800000000000001E-3</v>
      </c>
    </row>
    <row r="205" spans="1:23">
      <c r="A205" s="20"/>
      <c r="B205" s="30" t="s">
        <v>319</v>
      </c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</row>
    <row r="206" spans="1:23">
      <c r="A206" s="20"/>
      <c r="B206" s="30" t="s">
        <v>320</v>
      </c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</row>
    <row r="210" spans="6:13">
      <c r="F210" s="49"/>
      <c r="G210" s="49"/>
      <c r="H210" s="49"/>
      <c r="I210" s="49"/>
      <c r="J210" s="49"/>
      <c r="K210" s="49"/>
      <c r="L210" s="49"/>
      <c r="M210" s="49"/>
    </row>
    <row r="213" spans="6:13" ht="22.15" customHeight="1"/>
    <row r="214" spans="6:13" ht="22.15" customHeight="1"/>
    <row r="215" spans="6:13" ht="22.15" customHeight="1"/>
    <row r="216" spans="6:13" ht="22.15" customHeight="1"/>
    <row r="217" spans="6:13" ht="21" customHeight="1"/>
    <row r="218" spans="6:13" ht="21" customHeight="1"/>
    <row r="219" spans="6:13" ht="21" customHeight="1"/>
    <row r="220" spans="6:13" ht="21" customHeight="1"/>
    <row r="221" spans="6:13" ht="17.45" customHeight="1"/>
    <row r="222" spans="6:13" ht="16.149999999999999" customHeight="1"/>
    <row r="223" spans="6:13" ht="17.45" customHeight="1"/>
    <row r="224" spans="6:13" ht="20.45" customHeight="1"/>
    <row r="225" ht="16.149999999999999" customHeight="1"/>
    <row r="226" ht="17.45" customHeight="1"/>
    <row r="227" ht="17.45" customHeight="1"/>
  </sheetData>
  <autoFilter ref="C1:C206"/>
  <mergeCells count="17">
    <mergeCell ref="M141:M142"/>
    <mergeCell ref="E4:E6"/>
    <mergeCell ref="V4:V6"/>
    <mergeCell ref="B1:T2"/>
    <mergeCell ref="R4:U4"/>
    <mergeCell ref="R5:U5"/>
    <mergeCell ref="D4:D6"/>
    <mergeCell ref="F5:I5"/>
    <mergeCell ref="N5:Q5"/>
    <mergeCell ref="N4:Q4"/>
    <mergeCell ref="F4:M4"/>
    <mergeCell ref="J5:M5"/>
    <mergeCell ref="A13:A14"/>
    <mergeCell ref="A4:A6"/>
    <mergeCell ref="B4:B6"/>
    <mergeCell ref="C4:C6"/>
    <mergeCell ref="I141:I142"/>
  </mergeCells>
  <printOptions horizontalCentered="1"/>
  <pageMargins left="0" right="0" top="0" bottom="0" header="0.31496062992125984" footer="0.31496062992125984"/>
  <pageSetup paperSize="8" scale="54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26" sqref="C26"/>
    </sheetView>
  </sheetViews>
  <sheetFormatPr defaultRowHeight="15"/>
  <sheetData>
    <row r="1" spans="1:1">
      <c r="A1" t="s">
        <v>342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2"/>
  <sheetViews>
    <sheetView workbookViewId="0">
      <selection activeCell="C11" sqref="C11"/>
    </sheetView>
  </sheetViews>
  <sheetFormatPr defaultRowHeight="16.899999999999999" customHeight="1"/>
  <cols>
    <col min="2" max="2" width="57.28515625" customWidth="1"/>
    <col min="3" max="3" width="14.5703125" customWidth="1"/>
    <col min="4" max="4" width="13.5703125" customWidth="1"/>
    <col min="6" max="6" width="24.28515625" customWidth="1"/>
  </cols>
  <sheetData>
    <row r="1" spans="1:7" ht="58.15" customHeight="1" thickBot="1">
      <c r="A1" s="50" t="s">
        <v>0</v>
      </c>
      <c r="B1" s="51" t="s">
        <v>1</v>
      </c>
      <c r="C1" s="51" t="s">
        <v>344</v>
      </c>
      <c r="D1" s="51" t="s">
        <v>343</v>
      </c>
      <c r="E1" s="51" t="s">
        <v>341</v>
      </c>
      <c r="F1">
        <f>Лист1!H3</f>
        <v>0</v>
      </c>
      <c r="G1">
        <f>Лист1!K3</f>
        <v>0</v>
      </c>
    </row>
    <row r="2" spans="1:7" ht="16.899999999999999" customHeight="1" thickBot="1">
      <c r="A2" s="52"/>
      <c r="B2" s="53" t="s">
        <v>16</v>
      </c>
      <c r="C2" s="87">
        <f>SUM(C3:C12)</f>
        <v>9.66</v>
      </c>
      <c r="D2" s="87">
        <f>SUM(D3:D12)</f>
        <v>6.65</v>
      </c>
      <c r="E2" s="56">
        <f>D2/C2</f>
        <v>0.68799999999999994</v>
      </c>
      <c r="F2" s="60">
        <f>SUM(F3:F12)</f>
        <v>9.6280000000000001</v>
      </c>
      <c r="G2" s="60">
        <f>SUM(G3:G12)</f>
        <v>6.0490000000000004</v>
      </c>
    </row>
    <row r="3" spans="1:7" ht="16.899999999999999" customHeight="1" thickBot="1">
      <c r="A3" s="52">
        <v>1</v>
      </c>
      <c r="B3" s="54" t="s">
        <v>17</v>
      </c>
      <c r="C3" s="88">
        <f>SUM(Лист1!G9:H9)/1000000</f>
        <v>2.94</v>
      </c>
      <c r="D3" s="88">
        <f>SUM(Лист1!K9:L9)/1000000</f>
        <v>1.44</v>
      </c>
      <c r="E3" s="57">
        <v>0.371</v>
      </c>
      <c r="F3" s="60">
        <v>2.9430000000000001</v>
      </c>
      <c r="G3" s="60">
        <v>1.27</v>
      </c>
    </row>
    <row r="4" spans="1:7" ht="16.899999999999999" customHeight="1" thickBot="1">
      <c r="A4" s="52">
        <v>2</v>
      </c>
      <c r="B4" s="54" t="s">
        <v>74</v>
      </c>
      <c r="C4" s="88">
        <f>SUM(Лист1!G43:H43)/1000000</f>
        <v>1.22</v>
      </c>
      <c r="D4" s="88">
        <f>SUM(Лист1!K43:L43)/1000000</f>
        <v>0.68</v>
      </c>
      <c r="E4" s="57">
        <v>0.33300000000000002</v>
      </c>
      <c r="F4" s="60">
        <v>1.216</v>
      </c>
      <c r="G4" s="60">
        <v>0.56899999999999995</v>
      </c>
    </row>
    <row r="5" spans="1:7" ht="16.899999999999999" customHeight="1" thickBot="1">
      <c r="A5" s="52">
        <v>3</v>
      </c>
      <c r="B5" s="54" t="s">
        <v>115</v>
      </c>
      <c r="C5" s="88">
        <f>SUM(Лист1!G70:H70)/1000000</f>
        <v>1.48</v>
      </c>
      <c r="D5" s="88">
        <f>SUM(Лист1!K70:L70)/1000000</f>
        <v>1.3</v>
      </c>
      <c r="E5" s="57">
        <v>0.81</v>
      </c>
      <c r="F5" s="60">
        <v>1.48</v>
      </c>
      <c r="G5" s="60">
        <v>1.2529999999999999</v>
      </c>
    </row>
    <row r="6" spans="1:7" ht="16.899999999999999" customHeight="1" thickBot="1">
      <c r="A6" s="52">
        <v>4</v>
      </c>
      <c r="B6" s="54" t="s">
        <v>173</v>
      </c>
      <c r="C6" s="88">
        <f>SUM(Лист1!G107:H107)/1000000</f>
        <v>0.11</v>
      </c>
      <c r="D6" s="88">
        <f>SUM(Лист1!K107:L107)/1000000</f>
        <v>0.09</v>
      </c>
      <c r="E6" s="57">
        <v>0.47</v>
      </c>
      <c r="F6" s="60">
        <v>0.114</v>
      </c>
      <c r="G6" s="60">
        <v>6.8000000000000005E-2</v>
      </c>
    </row>
    <row r="7" spans="1:7" ht="16.899999999999999" customHeight="1" thickBot="1">
      <c r="A7" s="52">
        <v>5</v>
      </c>
      <c r="B7" s="55" t="s">
        <v>207</v>
      </c>
      <c r="C7" s="88">
        <f>SUM(Лист1!G131:H131)/1000000</f>
        <v>0.99</v>
      </c>
      <c r="D7" s="88">
        <f>SUM(Лист1!K131:L131)/1000000</f>
        <v>0.42</v>
      </c>
      <c r="E7" s="57">
        <v>0.14899999999999999</v>
      </c>
      <c r="F7" s="60">
        <v>0.98899999999999999</v>
      </c>
      <c r="G7" s="60">
        <v>0.22800000000000001</v>
      </c>
    </row>
    <row r="8" spans="1:7" ht="16.899999999999999" customHeight="1" thickBot="1">
      <c r="A8" s="52">
        <v>6</v>
      </c>
      <c r="B8" s="54" t="s">
        <v>225</v>
      </c>
      <c r="C8" s="88">
        <f>SUM(Лист1!G143:H143)/1000000</f>
        <v>0.16</v>
      </c>
      <c r="D8" s="88">
        <f>SUM(Лист1!K143:L143)/1000000</f>
        <v>0.08</v>
      </c>
      <c r="E8" s="57">
        <v>0.33700000000000002</v>
      </c>
      <c r="F8" s="60">
        <v>0.16400000000000001</v>
      </c>
      <c r="G8" s="60">
        <v>6.3E-2</v>
      </c>
    </row>
    <row r="9" spans="1:7" ht="16.899999999999999" customHeight="1" thickBot="1">
      <c r="A9" s="52">
        <v>7</v>
      </c>
      <c r="B9" s="55" t="s">
        <v>250</v>
      </c>
      <c r="C9" s="88">
        <f>SUM(Лист1!G158:H158)/1000000</f>
        <v>2.34</v>
      </c>
      <c r="D9" s="88">
        <f>SUM(Лист1!K158:L158)/1000000</f>
        <v>2.29</v>
      </c>
      <c r="E9" s="57">
        <v>0.874</v>
      </c>
      <c r="F9" s="60">
        <v>2.2919999999999998</v>
      </c>
      <c r="G9" s="60">
        <v>2.2879999999999998</v>
      </c>
    </row>
    <row r="10" spans="1:7" ht="16.899999999999999" customHeight="1" thickBot="1">
      <c r="A10" s="52">
        <v>8</v>
      </c>
      <c r="B10" s="54" t="s">
        <v>257</v>
      </c>
      <c r="C10" s="88">
        <f>SUM(Лист1!G162:H162)/1000000</f>
        <v>0.13</v>
      </c>
      <c r="D10" s="88">
        <f>SUM(Лист1!K162:L162)/1000000</f>
        <v>0.13</v>
      </c>
      <c r="E10" s="57">
        <v>0.66800000000000004</v>
      </c>
      <c r="F10" s="60">
        <v>0.13200000000000001</v>
      </c>
      <c r="G10" s="60">
        <v>9.7000000000000003E-2</v>
      </c>
    </row>
    <row r="11" spans="1:7" ht="16.899999999999999" customHeight="1" thickBot="1">
      <c r="A11" s="52">
        <v>9</v>
      </c>
      <c r="B11" s="55" t="s">
        <v>275</v>
      </c>
      <c r="C11" s="88">
        <f>SUM(Лист1!G174:H174)/1000000</f>
        <v>0.21</v>
      </c>
      <c r="D11" s="88">
        <f>SUM(Лист1!K174:L174)/1000000</f>
        <v>0.2</v>
      </c>
      <c r="E11" s="57">
        <v>0.94399999999999995</v>
      </c>
      <c r="F11" s="60">
        <v>0.21299999999999999</v>
      </c>
      <c r="G11" s="60">
        <v>0.19700000000000001</v>
      </c>
    </row>
    <row r="12" spans="1:7" ht="31.5" customHeight="1" thickBot="1">
      <c r="A12" s="52">
        <v>10</v>
      </c>
      <c r="B12" s="55" t="s">
        <v>305</v>
      </c>
      <c r="C12" s="88">
        <f>SUM(Лист1!G194:H194)/1000000</f>
        <v>0.08</v>
      </c>
      <c r="D12" s="88">
        <f>SUM(Лист1!K194:L194)/1000000</f>
        <v>0.02</v>
      </c>
      <c r="E12" s="57">
        <v>0.17499999999999999</v>
      </c>
      <c r="F12" s="60">
        <v>8.5000000000000006E-2</v>
      </c>
      <c r="G12" s="60">
        <v>1.6E-2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59"/>
  <sheetViews>
    <sheetView topLeftCell="A40" workbookViewId="0">
      <selection activeCell="B54" sqref="B54"/>
    </sheetView>
  </sheetViews>
  <sheetFormatPr defaultColWidth="8.85546875" defaultRowHeight="15"/>
  <cols>
    <col min="1" max="1" width="6.42578125" style="3" customWidth="1"/>
    <col min="2" max="2" width="49" style="21" customWidth="1"/>
    <col min="3" max="3" width="15.5703125" style="3" customWidth="1"/>
    <col min="4" max="4" width="15.28515625" style="3" customWidth="1"/>
    <col min="5" max="5" width="16.7109375" style="3" customWidth="1"/>
    <col min="6" max="6" width="14.28515625" style="3" customWidth="1"/>
    <col min="7" max="7" width="17" style="3" customWidth="1"/>
    <col min="8" max="8" width="18" style="3" customWidth="1"/>
    <col min="9" max="9" width="16.7109375" style="3" customWidth="1"/>
    <col min="10" max="16384" width="8.85546875" style="3"/>
  </cols>
  <sheetData>
    <row r="1" spans="1:10">
      <c r="B1" s="133" t="s">
        <v>345</v>
      </c>
      <c r="C1" s="134"/>
      <c r="D1" s="134"/>
      <c r="E1" s="134"/>
      <c r="F1" s="134"/>
      <c r="G1" s="134"/>
      <c r="H1" s="134"/>
    </row>
    <row r="2" spans="1:10">
      <c r="B2" s="134"/>
      <c r="C2" s="134"/>
      <c r="D2" s="134"/>
      <c r="E2" s="134"/>
      <c r="F2" s="134"/>
      <c r="G2" s="134"/>
      <c r="H2" s="134"/>
    </row>
    <row r="3" spans="1:10">
      <c r="C3" s="6"/>
      <c r="D3" s="49"/>
      <c r="E3" s="49"/>
      <c r="G3" s="49">
        <f>G8/D8*100</f>
        <v>74.099999999999994</v>
      </c>
      <c r="H3" s="49">
        <f>H8/E8*100</f>
        <v>65.900000000000006</v>
      </c>
    </row>
    <row r="4" spans="1:10" ht="20.25" customHeight="1">
      <c r="A4" s="123" t="s">
        <v>0</v>
      </c>
      <c r="B4" s="126" t="s">
        <v>1</v>
      </c>
      <c r="C4" s="136" t="s">
        <v>5</v>
      </c>
      <c r="D4" s="137"/>
      <c r="E4" s="137"/>
      <c r="F4" s="137"/>
      <c r="G4" s="137"/>
      <c r="H4" s="137"/>
      <c r="I4" s="123" t="s">
        <v>341</v>
      </c>
    </row>
    <row r="5" spans="1:10" ht="16.899999999999999" customHeight="1">
      <c r="A5" s="124"/>
      <c r="B5" s="127"/>
      <c r="C5" s="136" t="s">
        <v>8</v>
      </c>
      <c r="D5" s="137"/>
      <c r="E5" s="137"/>
      <c r="F5" s="136" t="s">
        <v>9</v>
      </c>
      <c r="G5" s="137"/>
      <c r="H5" s="137"/>
      <c r="I5" s="124"/>
    </row>
    <row r="6" spans="1:10" ht="66">
      <c r="A6" s="125"/>
      <c r="B6" s="128"/>
      <c r="C6" s="61" t="s">
        <v>11</v>
      </c>
      <c r="D6" s="61" t="s">
        <v>12</v>
      </c>
      <c r="E6" s="61" t="s">
        <v>13</v>
      </c>
      <c r="F6" s="61" t="s">
        <v>11</v>
      </c>
      <c r="G6" s="61" t="s">
        <v>12</v>
      </c>
      <c r="H6" s="61" t="s">
        <v>13</v>
      </c>
      <c r="I6" s="125"/>
    </row>
    <row r="7" spans="1:10" ht="16.5">
      <c r="A7" s="9" t="s">
        <v>15</v>
      </c>
      <c r="B7" s="22">
        <v>2</v>
      </c>
      <c r="C7" s="61">
        <v>6</v>
      </c>
      <c r="D7" s="61">
        <v>7</v>
      </c>
      <c r="E7" s="61">
        <v>8</v>
      </c>
      <c r="F7" s="61">
        <v>10</v>
      </c>
      <c r="G7" s="61">
        <v>11</v>
      </c>
      <c r="H7" s="61">
        <v>12</v>
      </c>
      <c r="I7" s="61">
        <v>22</v>
      </c>
    </row>
    <row r="8" spans="1:10" ht="17.25">
      <c r="A8" s="11"/>
      <c r="B8" s="23" t="s">
        <v>16</v>
      </c>
      <c r="C8" s="33">
        <f>Лист1!F8</f>
        <v>10307311.6</v>
      </c>
      <c r="D8" s="33">
        <f>Лист1!G8</f>
        <v>3421884.1</v>
      </c>
      <c r="E8" s="33">
        <f>Лист1!H8</f>
        <v>6254472.9000000004</v>
      </c>
      <c r="F8" s="33">
        <f>Лист1!J8</f>
        <v>7098118.2999999998</v>
      </c>
      <c r="G8" s="33">
        <f>Лист1!K8</f>
        <v>2535255</v>
      </c>
      <c r="H8" s="33">
        <f>Лист1!L8</f>
        <v>4119102.1</v>
      </c>
      <c r="I8" s="43">
        <f t="shared" ref="I8:I55" si="0">F8/C8</f>
        <v>0.68899999999999995</v>
      </c>
    </row>
    <row r="9" spans="1:10" ht="16.5">
      <c r="A9" s="1">
        <v>1</v>
      </c>
      <c r="B9" s="31" t="s">
        <v>17</v>
      </c>
      <c r="C9" s="34">
        <f>Лист1!F9</f>
        <v>2987672.4</v>
      </c>
      <c r="D9" s="34">
        <f>Лист1!G9</f>
        <v>1573811.1</v>
      </c>
      <c r="E9" s="34">
        <f>Лист1!H9</f>
        <v>1369595.5</v>
      </c>
      <c r="F9" s="34">
        <f>Лист1!J9</f>
        <v>1469381.6</v>
      </c>
      <c r="G9" s="34">
        <f>Лист1!K9</f>
        <v>891230.1</v>
      </c>
      <c r="H9" s="34">
        <f>Лист1!L9</f>
        <v>546661.5</v>
      </c>
      <c r="I9" s="44">
        <f t="shared" si="0"/>
        <v>0.49199999999999999</v>
      </c>
    </row>
    <row r="10" spans="1:10" ht="33">
      <c r="A10" s="82" t="s">
        <v>19</v>
      </c>
      <c r="B10" s="83" t="s">
        <v>20</v>
      </c>
      <c r="C10" s="84">
        <f>Лист1!F10</f>
        <v>348929.6</v>
      </c>
      <c r="D10" s="84">
        <f>Лист1!G10</f>
        <v>15230.8</v>
      </c>
      <c r="E10" s="84">
        <f>Лист1!H10</f>
        <v>333698.8</v>
      </c>
      <c r="F10" s="84">
        <f>Лист1!J10</f>
        <v>170078.9</v>
      </c>
      <c r="G10" s="84">
        <f>Лист1!K10</f>
        <v>6752.4</v>
      </c>
      <c r="H10" s="84">
        <f>Лист1!L10</f>
        <v>163326.5</v>
      </c>
      <c r="I10" s="85">
        <f t="shared" si="0"/>
        <v>0.48699999999999999</v>
      </c>
      <c r="J10" s="69">
        <f t="shared" ref="J10:J55" si="1">F10/1000000</f>
        <v>0.17</v>
      </c>
    </row>
    <row r="11" spans="1:10" ht="33">
      <c r="A11" s="9" t="s">
        <v>41</v>
      </c>
      <c r="B11" s="24" t="s">
        <v>42</v>
      </c>
      <c r="C11" s="35">
        <f>Лист1!F21</f>
        <v>268888</v>
      </c>
      <c r="D11" s="35">
        <f>Лист1!G21</f>
        <v>205926.2</v>
      </c>
      <c r="E11" s="35">
        <f>Лист1!H21</f>
        <v>19758.099999999999</v>
      </c>
      <c r="F11" s="35">
        <f>Лист1!J21</f>
        <v>246463.2</v>
      </c>
      <c r="G11" s="35">
        <f>Лист1!K21</f>
        <v>196820.4</v>
      </c>
      <c r="H11" s="35">
        <f>Лист1!L21</f>
        <v>18152.8</v>
      </c>
      <c r="I11" s="45">
        <f t="shared" si="0"/>
        <v>0.91700000000000004</v>
      </c>
      <c r="J11" s="69">
        <f t="shared" si="1"/>
        <v>0.25</v>
      </c>
    </row>
    <row r="12" spans="1:10" ht="66">
      <c r="A12" s="9" t="s">
        <v>56</v>
      </c>
      <c r="B12" s="24" t="s">
        <v>57</v>
      </c>
      <c r="C12" s="35">
        <f>Лист1!F31</f>
        <v>1220534.1000000001</v>
      </c>
      <c r="D12" s="35">
        <f>Лист1!G31</f>
        <v>572787.30000000005</v>
      </c>
      <c r="E12" s="35">
        <f>Лист1!H31</f>
        <v>646684.69999999995</v>
      </c>
      <c r="F12" s="35">
        <f>Лист1!J31</f>
        <v>0</v>
      </c>
      <c r="G12" s="35">
        <f>Лист1!K31</f>
        <v>0</v>
      </c>
      <c r="H12" s="35">
        <f>Лист1!L31</f>
        <v>0</v>
      </c>
      <c r="I12" s="62">
        <f t="shared" si="0"/>
        <v>0</v>
      </c>
      <c r="J12" s="67">
        <f t="shared" si="1"/>
        <v>0</v>
      </c>
    </row>
    <row r="13" spans="1:10" ht="49.5">
      <c r="A13" s="9" t="s">
        <v>62</v>
      </c>
      <c r="B13" s="24" t="s">
        <v>63</v>
      </c>
      <c r="C13" s="35">
        <f>Лист1!F36</f>
        <v>1145620.7</v>
      </c>
      <c r="D13" s="35">
        <f>Лист1!G36</f>
        <v>776166.8</v>
      </c>
      <c r="E13" s="35">
        <f>Лист1!H36</f>
        <v>369453.9</v>
      </c>
      <c r="F13" s="35">
        <f>Лист1!J36</f>
        <v>1049319.8999999999</v>
      </c>
      <c r="G13" s="35">
        <f>Лист1!K36</f>
        <v>684137.7</v>
      </c>
      <c r="H13" s="35">
        <f>Лист1!L36</f>
        <v>365182.2</v>
      </c>
      <c r="I13" s="45">
        <f t="shared" si="0"/>
        <v>0.91600000000000004</v>
      </c>
      <c r="J13" s="69">
        <f t="shared" si="1"/>
        <v>1.05</v>
      </c>
    </row>
    <row r="14" spans="1:10" ht="33">
      <c r="A14" s="9" t="s">
        <v>69</v>
      </c>
      <c r="B14" s="24" t="s">
        <v>70</v>
      </c>
      <c r="C14" s="35">
        <f>Лист1!F40</f>
        <v>3700</v>
      </c>
      <c r="D14" s="35">
        <f>Лист1!G40</f>
        <v>3700</v>
      </c>
      <c r="E14" s="35">
        <f>Лист1!H40</f>
        <v>0</v>
      </c>
      <c r="F14" s="35">
        <f>Лист1!J40</f>
        <v>3519.6</v>
      </c>
      <c r="G14" s="35">
        <f>Лист1!K40</f>
        <v>3519.6</v>
      </c>
      <c r="H14" s="35">
        <f>Лист1!L40</f>
        <v>0</v>
      </c>
      <c r="I14" s="45">
        <f t="shared" si="0"/>
        <v>0.95099999999999996</v>
      </c>
      <c r="J14" s="67">
        <f t="shared" si="1"/>
        <v>0</v>
      </c>
    </row>
    <row r="15" spans="1:10" ht="16.5">
      <c r="A15" s="39" t="s">
        <v>73</v>
      </c>
      <c r="B15" s="40" t="s">
        <v>74</v>
      </c>
      <c r="C15" s="42">
        <f>Лист1!F43</f>
        <v>1216123.5</v>
      </c>
      <c r="D15" s="42">
        <f>Лист1!G43</f>
        <v>266674</v>
      </c>
      <c r="E15" s="42">
        <f>Лист1!H43</f>
        <v>949449.5</v>
      </c>
      <c r="F15" s="42">
        <f>Лист1!J43</f>
        <v>681304.1</v>
      </c>
      <c r="G15" s="42">
        <f>Лист1!K43</f>
        <v>175104</v>
      </c>
      <c r="H15" s="42">
        <f>Лист1!L43</f>
        <v>506200.1</v>
      </c>
      <c r="I15" s="47">
        <f t="shared" si="0"/>
        <v>0.56000000000000005</v>
      </c>
      <c r="J15" s="67"/>
    </row>
    <row r="16" spans="1:10" ht="49.5">
      <c r="A16" s="9" t="s">
        <v>75</v>
      </c>
      <c r="B16" s="24" t="s">
        <v>76</v>
      </c>
      <c r="C16" s="35">
        <f>Лист1!F44</f>
        <v>282225.8</v>
      </c>
      <c r="D16" s="35">
        <f>Лист1!G44</f>
        <v>135045</v>
      </c>
      <c r="E16" s="35">
        <f>Лист1!H44</f>
        <v>147180.79999999999</v>
      </c>
      <c r="F16" s="35">
        <f>Лист1!J44</f>
        <v>273595.7</v>
      </c>
      <c r="G16" s="35">
        <f>Лист1!K44</f>
        <v>134665</v>
      </c>
      <c r="H16" s="35">
        <f>Лист1!L44</f>
        <v>138930.70000000001</v>
      </c>
      <c r="I16" s="45">
        <f t="shared" si="0"/>
        <v>0.96899999999999997</v>
      </c>
      <c r="J16" s="69">
        <f t="shared" si="1"/>
        <v>0.27</v>
      </c>
    </row>
    <row r="17" spans="1:10" ht="49.5">
      <c r="A17" s="79" t="s">
        <v>89</v>
      </c>
      <c r="B17" s="76" t="s">
        <v>90</v>
      </c>
      <c r="C17" s="77">
        <f>Лист1!F52</f>
        <v>80052.5</v>
      </c>
      <c r="D17" s="77">
        <f>Лист1!G52</f>
        <v>5500</v>
      </c>
      <c r="E17" s="77">
        <f>Лист1!H52</f>
        <v>74552.5</v>
      </c>
      <c r="F17" s="77">
        <f>Лист1!J52</f>
        <v>11203.5</v>
      </c>
      <c r="G17" s="77">
        <f>Лист1!K52</f>
        <v>4686.5</v>
      </c>
      <c r="H17" s="77">
        <f>Лист1!L52</f>
        <v>6517</v>
      </c>
      <c r="I17" s="80">
        <f t="shared" si="0"/>
        <v>0.14000000000000001</v>
      </c>
      <c r="J17" s="67">
        <f t="shared" si="1"/>
        <v>0.01</v>
      </c>
    </row>
    <row r="18" spans="1:10" ht="82.5">
      <c r="A18" s="82" t="s">
        <v>95</v>
      </c>
      <c r="B18" s="83" t="s">
        <v>96</v>
      </c>
      <c r="C18" s="84">
        <f>Лист1!F56</f>
        <v>106204.4</v>
      </c>
      <c r="D18" s="84">
        <f>Лист1!G56</f>
        <v>20129.8</v>
      </c>
      <c r="E18" s="84">
        <f>Лист1!H56</f>
        <v>86074.6</v>
      </c>
      <c r="F18" s="84">
        <f>Лист1!J56</f>
        <v>44615.9</v>
      </c>
      <c r="G18" s="84">
        <f>Лист1!K56</f>
        <v>9368.7000000000007</v>
      </c>
      <c r="H18" s="84">
        <f>Лист1!L56</f>
        <v>35247.199999999997</v>
      </c>
      <c r="I18" s="85">
        <f t="shared" si="0"/>
        <v>0.42</v>
      </c>
      <c r="J18" s="67">
        <f t="shared" si="1"/>
        <v>0.04</v>
      </c>
    </row>
    <row r="19" spans="1:10" ht="99">
      <c r="A19" s="82" t="s">
        <v>101</v>
      </c>
      <c r="B19" s="83" t="s">
        <v>102</v>
      </c>
      <c r="C19" s="84">
        <f>Лист1!F60</f>
        <v>138662</v>
      </c>
      <c r="D19" s="84">
        <f>Лист1!G60</f>
        <v>26290</v>
      </c>
      <c r="E19" s="84">
        <f>Лист1!H60</f>
        <v>112372</v>
      </c>
      <c r="F19" s="84">
        <f>Лист1!J60</f>
        <v>64422</v>
      </c>
      <c r="G19" s="84">
        <f>Лист1!K60</f>
        <v>14848.2</v>
      </c>
      <c r="H19" s="84">
        <f>Лист1!L60</f>
        <v>49573.8</v>
      </c>
      <c r="I19" s="86">
        <f t="shared" si="0"/>
        <v>0.46500000000000002</v>
      </c>
      <c r="J19" s="67">
        <f t="shared" si="1"/>
        <v>0.06</v>
      </c>
    </row>
    <row r="20" spans="1:10" ht="33">
      <c r="A20" s="9" t="s">
        <v>107</v>
      </c>
      <c r="B20" s="24" t="s">
        <v>108</v>
      </c>
      <c r="C20" s="35">
        <f>Лист1!F64</f>
        <v>608978.80000000005</v>
      </c>
      <c r="D20" s="35">
        <f>Лист1!G64</f>
        <v>79709.2</v>
      </c>
      <c r="E20" s="35">
        <f>Лист1!H64</f>
        <v>529269.6</v>
      </c>
      <c r="F20" s="35">
        <f>Лист1!J64</f>
        <v>287467</v>
      </c>
      <c r="G20" s="35">
        <f>Лист1!K64</f>
        <v>11535.6</v>
      </c>
      <c r="H20" s="35">
        <f>Лист1!L64</f>
        <v>275931.40000000002</v>
      </c>
      <c r="I20" s="45">
        <f t="shared" si="0"/>
        <v>0.47199999999999998</v>
      </c>
      <c r="J20" s="69">
        <f t="shared" si="1"/>
        <v>0.28999999999999998</v>
      </c>
    </row>
    <row r="21" spans="1:10" ht="16.5">
      <c r="A21" s="1" t="s">
        <v>114</v>
      </c>
      <c r="B21" s="31" t="s">
        <v>115</v>
      </c>
      <c r="C21" s="34">
        <f>Лист1!F70</f>
        <v>1519134</v>
      </c>
      <c r="D21" s="34">
        <f>Лист1!G70</f>
        <v>817370</v>
      </c>
      <c r="E21" s="34">
        <f>Лист1!H70</f>
        <v>662910.19999999995</v>
      </c>
      <c r="F21" s="34">
        <f>Лист1!J70</f>
        <v>1336072.7</v>
      </c>
      <c r="G21" s="34">
        <f>Лист1!K70</f>
        <v>779718.4</v>
      </c>
      <c r="H21" s="34">
        <f>Лист1!L70</f>
        <v>519710.2</v>
      </c>
      <c r="I21" s="44">
        <f t="shared" si="0"/>
        <v>0.879</v>
      </c>
      <c r="J21" s="67"/>
    </row>
    <row r="22" spans="1:10" ht="33">
      <c r="A22" s="9" t="s">
        <v>116</v>
      </c>
      <c r="B22" s="24" t="s">
        <v>117</v>
      </c>
      <c r="C22" s="35">
        <f>Лист1!F71</f>
        <v>1312099.8999999999</v>
      </c>
      <c r="D22" s="35">
        <f>Лист1!G71</f>
        <v>705896</v>
      </c>
      <c r="E22" s="35">
        <f>Лист1!H71</f>
        <v>567363.30000000005</v>
      </c>
      <c r="F22" s="35">
        <f>Лист1!J71</f>
        <v>1179276.3</v>
      </c>
      <c r="G22" s="35">
        <f>Лист1!K71</f>
        <v>693577.3</v>
      </c>
      <c r="H22" s="35">
        <f>Лист1!L71</f>
        <v>449068.1</v>
      </c>
      <c r="I22" s="45">
        <f t="shared" si="0"/>
        <v>0.89900000000000002</v>
      </c>
      <c r="J22" s="69">
        <f t="shared" si="1"/>
        <v>1.18</v>
      </c>
    </row>
    <row r="23" spans="1:10" ht="33">
      <c r="A23" s="79" t="s">
        <v>127</v>
      </c>
      <c r="B23" s="76" t="s">
        <v>128</v>
      </c>
      <c r="C23" s="77">
        <f>Лист1!F79</f>
        <v>37934.6</v>
      </c>
      <c r="D23" s="77">
        <f>Лист1!G79</f>
        <v>7443</v>
      </c>
      <c r="E23" s="77">
        <f>Лист1!H79</f>
        <v>30491.599999999999</v>
      </c>
      <c r="F23" s="77">
        <f>Лист1!J79</f>
        <v>12719.7</v>
      </c>
      <c r="G23" s="77">
        <f>Лист1!K79</f>
        <v>6137.7</v>
      </c>
      <c r="H23" s="77">
        <f>Лист1!L79</f>
        <v>6582</v>
      </c>
      <c r="I23" s="80">
        <f t="shared" si="0"/>
        <v>0.33500000000000002</v>
      </c>
      <c r="J23" s="67">
        <f t="shared" si="1"/>
        <v>0.01</v>
      </c>
    </row>
    <row r="24" spans="1:10" ht="33">
      <c r="A24" s="9" t="s">
        <v>137</v>
      </c>
      <c r="B24" s="24" t="s">
        <v>138</v>
      </c>
      <c r="C24" s="35">
        <f>Лист1!F85</f>
        <v>94449.600000000006</v>
      </c>
      <c r="D24" s="35">
        <f>Лист1!G85</f>
        <v>83475.7</v>
      </c>
      <c r="E24" s="35">
        <f>Лист1!H85</f>
        <v>10960.7</v>
      </c>
      <c r="F24" s="35">
        <f>Лист1!J85</f>
        <v>73152.3</v>
      </c>
      <c r="G24" s="35">
        <f>Лист1!K85</f>
        <v>62178.400000000001</v>
      </c>
      <c r="H24" s="35">
        <f>Лист1!L85</f>
        <v>10960.7</v>
      </c>
      <c r="I24" s="45">
        <f t="shared" si="0"/>
        <v>0.77500000000000002</v>
      </c>
      <c r="J24" s="69">
        <f t="shared" si="1"/>
        <v>7.0000000000000007E-2</v>
      </c>
    </row>
    <row r="25" spans="1:10" ht="66">
      <c r="A25" s="9" t="s">
        <v>149</v>
      </c>
      <c r="B25" s="24" t="s">
        <v>150</v>
      </c>
      <c r="C25" s="35">
        <f>Лист1!F92</f>
        <v>73344.7</v>
      </c>
      <c r="D25" s="35">
        <f>Лист1!G92</f>
        <v>19250.099999999999</v>
      </c>
      <c r="E25" s="35">
        <f>Лист1!H92</f>
        <v>54094.6</v>
      </c>
      <c r="F25" s="35">
        <f>Лист1!J92</f>
        <v>70106.7</v>
      </c>
      <c r="G25" s="35">
        <f>Лист1!K92</f>
        <v>17007.3</v>
      </c>
      <c r="H25" s="35">
        <f>Лист1!L92</f>
        <v>53099.4</v>
      </c>
      <c r="I25" s="45">
        <f t="shared" si="0"/>
        <v>0.95599999999999996</v>
      </c>
      <c r="J25" s="67">
        <f t="shared" si="1"/>
        <v>7.0000000000000007E-2</v>
      </c>
    </row>
    <row r="26" spans="1:10" ht="33">
      <c r="A26" s="9" t="s">
        <v>168</v>
      </c>
      <c r="B26" s="24" t="s">
        <v>169</v>
      </c>
      <c r="C26" s="35">
        <f>Лист1!F103</f>
        <v>1066</v>
      </c>
      <c r="D26" s="35">
        <f>Лист1!G103</f>
        <v>1066</v>
      </c>
      <c r="E26" s="35">
        <f>Лист1!H103</f>
        <v>0</v>
      </c>
      <c r="F26" s="35">
        <f>Лист1!J103</f>
        <v>817.7</v>
      </c>
      <c r="G26" s="35">
        <f>Лист1!K103</f>
        <v>817.7</v>
      </c>
      <c r="H26" s="35">
        <f>Лист1!L103</f>
        <v>0</v>
      </c>
      <c r="I26" s="45">
        <f t="shared" si="0"/>
        <v>0.76700000000000002</v>
      </c>
      <c r="J26" s="67">
        <f t="shared" si="1"/>
        <v>0</v>
      </c>
    </row>
    <row r="27" spans="1:10" s="66" customFormat="1" ht="33">
      <c r="A27" s="63" t="s">
        <v>348</v>
      </c>
      <c r="B27" s="64" t="s">
        <v>349</v>
      </c>
      <c r="C27" s="65">
        <f>Лист1!F105</f>
        <v>239.2</v>
      </c>
      <c r="D27" s="65">
        <f>Лист1!G105</f>
        <v>239.2</v>
      </c>
      <c r="E27" s="65">
        <f>Лист1!H105</f>
        <v>0</v>
      </c>
      <c r="F27" s="65">
        <f>Лист1!J105</f>
        <v>0</v>
      </c>
      <c r="G27" s="65">
        <f>Лист1!K105</f>
        <v>0</v>
      </c>
      <c r="H27" s="65">
        <f>Лист1!L105</f>
        <v>0</v>
      </c>
      <c r="I27" s="62">
        <f t="shared" si="0"/>
        <v>0</v>
      </c>
      <c r="J27" s="71">
        <f t="shared" si="1"/>
        <v>0</v>
      </c>
    </row>
    <row r="28" spans="1:10" ht="16.5">
      <c r="A28" s="1" t="s">
        <v>172</v>
      </c>
      <c r="B28" s="31" t="s">
        <v>173</v>
      </c>
      <c r="C28" s="34">
        <f>Лист1!F107</f>
        <v>109276.2</v>
      </c>
      <c r="D28" s="34">
        <f>Лист1!G107</f>
        <v>109276.1</v>
      </c>
      <c r="E28" s="34">
        <f>Лист1!H107</f>
        <v>0</v>
      </c>
      <c r="F28" s="34">
        <f>Лист1!J107</f>
        <v>88406.9</v>
      </c>
      <c r="G28" s="34">
        <f>Лист1!K107</f>
        <v>88406.9</v>
      </c>
      <c r="H28" s="34">
        <f>Лист1!L107</f>
        <v>0</v>
      </c>
      <c r="I28" s="44">
        <f t="shared" si="0"/>
        <v>0.80900000000000005</v>
      </c>
      <c r="J28" s="67"/>
    </row>
    <row r="29" spans="1:10" ht="33">
      <c r="A29" s="9" t="s">
        <v>174</v>
      </c>
      <c r="B29" s="24" t="s">
        <v>175</v>
      </c>
      <c r="C29" s="35">
        <f>Лист1!F108</f>
        <v>5428.6</v>
      </c>
      <c r="D29" s="35">
        <f>Лист1!G108</f>
        <v>5428.6</v>
      </c>
      <c r="E29" s="35">
        <f>Лист1!H108</f>
        <v>0</v>
      </c>
      <c r="F29" s="35">
        <f>Лист1!J108</f>
        <v>5000</v>
      </c>
      <c r="G29" s="35">
        <f>Лист1!K108</f>
        <v>5000</v>
      </c>
      <c r="H29" s="35">
        <f>Лист1!L108</f>
        <v>0</v>
      </c>
      <c r="I29" s="45">
        <f t="shared" si="0"/>
        <v>0.92100000000000004</v>
      </c>
      <c r="J29" s="67">
        <f t="shared" si="1"/>
        <v>0.01</v>
      </c>
    </row>
    <row r="30" spans="1:10" ht="33">
      <c r="A30" s="9" t="s">
        <v>178</v>
      </c>
      <c r="B30" s="24" t="s">
        <v>179</v>
      </c>
      <c r="C30" s="35">
        <f>Лист1!F112</f>
        <v>60000</v>
      </c>
      <c r="D30" s="35">
        <f>Лист1!G112</f>
        <v>60000</v>
      </c>
      <c r="E30" s="35">
        <f>Лист1!H112</f>
        <v>0</v>
      </c>
      <c r="F30" s="35">
        <f>Лист1!J112</f>
        <v>59999</v>
      </c>
      <c r="G30" s="35">
        <f>Лист1!K112</f>
        <v>59999</v>
      </c>
      <c r="H30" s="35">
        <f>Лист1!L112</f>
        <v>0</v>
      </c>
      <c r="I30" s="45">
        <f t="shared" si="0"/>
        <v>1</v>
      </c>
      <c r="J30" s="68">
        <f t="shared" si="1"/>
        <v>0.06</v>
      </c>
    </row>
    <row r="31" spans="1:10" ht="33">
      <c r="A31" s="9" t="s">
        <v>183</v>
      </c>
      <c r="B31" s="24" t="s">
        <v>184</v>
      </c>
      <c r="C31" s="35">
        <f>Лист1!F115</f>
        <v>1300</v>
      </c>
      <c r="D31" s="35">
        <f>Лист1!G115</f>
        <v>1300</v>
      </c>
      <c r="E31" s="35">
        <f>Лист1!H115</f>
        <v>0</v>
      </c>
      <c r="F31" s="35">
        <f>Лист1!J115</f>
        <v>1282.5</v>
      </c>
      <c r="G31" s="35">
        <f>Лист1!K115</f>
        <v>1282.5</v>
      </c>
      <c r="H31" s="35">
        <f>Лист1!L115</f>
        <v>0</v>
      </c>
      <c r="I31" s="45">
        <f t="shared" si="0"/>
        <v>0.98699999999999999</v>
      </c>
      <c r="J31" s="67">
        <f t="shared" si="1"/>
        <v>0</v>
      </c>
    </row>
    <row r="32" spans="1:10" ht="33">
      <c r="A32" s="82" t="s">
        <v>188</v>
      </c>
      <c r="B32" s="83" t="s">
        <v>189</v>
      </c>
      <c r="C32" s="84">
        <f>Лист1!F118</f>
        <v>24543.7</v>
      </c>
      <c r="D32" s="84">
        <f>Лист1!G118</f>
        <v>24543.599999999999</v>
      </c>
      <c r="E32" s="84">
        <f>Лист1!H118</f>
        <v>0</v>
      </c>
      <c r="F32" s="84">
        <f>Лист1!J118</f>
        <v>11653.6</v>
      </c>
      <c r="G32" s="84">
        <f>Лист1!K118</f>
        <v>11653.6</v>
      </c>
      <c r="H32" s="84">
        <f>Лист1!L118</f>
        <v>0</v>
      </c>
      <c r="I32" s="85">
        <f t="shared" si="0"/>
        <v>0.47499999999999998</v>
      </c>
      <c r="J32" s="67">
        <f t="shared" si="1"/>
        <v>0.01</v>
      </c>
    </row>
    <row r="33" spans="1:10" ht="33">
      <c r="A33" s="9" t="s">
        <v>202</v>
      </c>
      <c r="B33" s="24" t="s">
        <v>203</v>
      </c>
      <c r="C33" s="35">
        <f>Лист1!F128</f>
        <v>18003.900000000001</v>
      </c>
      <c r="D33" s="35">
        <f>Лист1!G128</f>
        <v>18003.900000000001</v>
      </c>
      <c r="E33" s="35">
        <f>Лист1!H128</f>
        <v>0</v>
      </c>
      <c r="F33" s="35">
        <f>Лист1!J128</f>
        <v>10471.799999999999</v>
      </c>
      <c r="G33" s="35">
        <f>Лист1!K128</f>
        <v>10471.799999999999</v>
      </c>
      <c r="H33" s="35">
        <f>Лист1!L128</f>
        <v>0</v>
      </c>
      <c r="I33" s="45">
        <f t="shared" si="0"/>
        <v>0.58199999999999996</v>
      </c>
      <c r="J33" s="67">
        <f t="shared" si="1"/>
        <v>0.01</v>
      </c>
    </row>
    <row r="34" spans="1:10" ht="33">
      <c r="A34" s="1" t="s">
        <v>206</v>
      </c>
      <c r="B34" s="32" t="s">
        <v>207</v>
      </c>
      <c r="C34" s="34">
        <f>Лист1!F131</f>
        <v>1236186.3</v>
      </c>
      <c r="D34" s="34">
        <f>Лист1!G131</f>
        <v>28467.7</v>
      </c>
      <c r="E34" s="34">
        <f>Лист1!H131</f>
        <v>960457.2</v>
      </c>
      <c r="F34" s="34">
        <f>Лист1!J131</f>
        <v>511139.3</v>
      </c>
      <c r="G34" s="34">
        <f>Лист1!K131</f>
        <v>12742.2</v>
      </c>
      <c r="H34" s="34">
        <f>Лист1!L131</f>
        <v>411995.6</v>
      </c>
      <c r="I34" s="44">
        <f t="shared" si="0"/>
        <v>0.41299999999999998</v>
      </c>
      <c r="J34" s="67"/>
    </row>
    <row r="35" spans="1:10" ht="33">
      <c r="A35" s="9" t="s">
        <v>208</v>
      </c>
      <c r="B35" s="24" t="s">
        <v>209</v>
      </c>
      <c r="C35" s="35">
        <f>Лист1!F132</f>
        <v>468472.7</v>
      </c>
      <c r="D35" s="35">
        <f>Лист1!G132</f>
        <v>12764</v>
      </c>
      <c r="E35" s="35">
        <f>Лист1!H132</f>
        <v>452704</v>
      </c>
      <c r="F35" s="35">
        <f>Лист1!J132</f>
        <v>283518.8</v>
      </c>
      <c r="G35" s="35">
        <f>Лист1!K132</f>
        <v>8439.9</v>
      </c>
      <c r="H35" s="35">
        <f>Лист1!L132</f>
        <v>272890.40000000002</v>
      </c>
      <c r="I35" s="45">
        <f t="shared" si="0"/>
        <v>0.60499999999999998</v>
      </c>
      <c r="J35" s="69">
        <f t="shared" si="1"/>
        <v>0.28000000000000003</v>
      </c>
    </row>
    <row r="36" spans="1:10" ht="49.5">
      <c r="A36" s="79" t="s">
        <v>214</v>
      </c>
      <c r="B36" s="76" t="s">
        <v>215</v>
      </c>
      <c r="C36" s="77">
        <f>Лист1!F136</f>
        <v>767713.6</v>
      </c>
      <c r="D36" s="77">
        <f>Лист1!G136</f>
        <v>15703.7</v>
      </c>
      <c r="E36" s="77">
        <f>Лист1!H136</f>
        <v>507753.2</v>
      </c>
      <c r="F36" s="77">
        <f>Лист1!J136</f>
        <v>227620.5</v>
      </c>
      <c r="G36" s="77">
        <f>Лист1!K136</f>
        <v>4302.3</v>
      </c>
      <c r="H36" s="77">
        <f>Лист1!L136</f>
        <v>139105.20000000001</v>
      </c>
      <c r="I36" s="78">
        <f t="shared" si="0"/>
        <v>0.29599999999999999</v>
      </c>
      <c r="J36" s="67">
        <f t="shared" si="1"/>
        <v>0.23</v>
      </c>
    </row>
    <row r="37" spans="1:10" ht="16.5">
      <c r="A37" s="1" t="s">
        <v>224</v>
      </c>
      <c r="B37" s="31" t="s">
        <v>225</v>
      </c>
      <c r="C37" s="34">
        <f>Лист1!F143</f>
        <v>179095.6</v>
      </c>
      <c r="D37" s="34">
        <f>Лист1!G143</f>
        <v>38152</v>
      </c>
      <c r="E37" s="34">
        <f>Лист1!H143</f>
        <v>125409</v>
      </c>
      <c r="F37" s="34">
        <f>Лист1!J143</f>
        <v>83888.5</v>
      </c>
      <c r="G37" s="34">
        <f>Лист1!K143</f>
        <v>5807.4</v>
      </c>
      <c r="H37" s="34">
        <f>Лист1!L143</f>
        <v>73258.3</v>
      </c>
      <c r="I37" s="44">
        <f t="shared" si="0"/>
        <v>0.46800000000000003</v>
      </c>
      <c r="J37" s="67"/>
    </row>
    <row r="38" spans="1:10" ht="33">
      <c r="A38" s="9" t="s">
        <v>226</v>
      </c>
      <c r="B38" s="24" t="s">
        <v>227</v>
      </c>
      <c r="C38" s="35">
        <f>Лист1!F144</f>
        <v>97207.3</v>
      </c>
      <c r="D38" s="35">
        <f>Лист1!G144</f>
        <v>137</v>
      </c>
      <c r="E38" s="35">
        <f>Лист1!H144</f>
        <v>97070.3</v>
      </c>
      <c r="F38" s="35">
        <f>Лист1!J144</f>
        <v>64597.5</v>
      </c>
      <c r="G38" s="35">
        <f>Лист1!K144</f>
        <v>137</v>
      </c>
      <c r="H38" s="35">
        <f>Лист1!L144</f>
        <v>64460.5</v>
      </c>
      <c r="I38" s="45">
        <f t="shared" si="0"/>
        <v>0.66500000000000004</v>
      </c>
      <c r="J38" s="69">
        <f t="shared" si="1"/>
        <v>0.06</v>
      </c>
    </row>
    <row r="39" spans="1:10" ht="33">
      <c r="A39" s="79" t="s">
        <v>235</v>
      </c>
      <c r="B39" s="76" t="s">
        <v>236</v>
      </c>
      <c r="C39" s="77">
        <f>Лист1!F149</f>
        <v>62138.3</v>
      </c>
      <c r="D39" s="77">
        <f>Лист1!G149</f>
        <v>18265</v>
      </c>
      <c r="E39" s="77">
        <f>Лист1!H149</f>
        <v>28338.7</v>
      </c>
      <c r="F39" s="77">
        <f>Лист1!J149</f>
        <v>19291</v>
      </c>
      <c r="G39" s="77">
        <f>Лист1!K149</f>
        <v>5670.4</v>
      </c>
      <c r="H39" s="77">
        <f>Лист1!L149</f>
        <v>8797.7999999999993</v>
      </c>
      <c r="I39" s="81">
        <f t="shared" si="0"/>
        <v>0.31</v>
      </c>
      <c r="J39" s="67">
        <f>F39/1000000</f>
        <v>0.02</v>
      </c>
    </row>
    <row r="40" spans="1:10" ht="49.5">
      <c r="A40" s="9" t="s">
        <v>240</v>
      </c>
      <c r="B40" s="24" t="s">
        <v>241</v>
      </c>
      <c r="C40" s="35">
        <f>Лист1!F152</f>
        <v>10000</v>
      </c>
      <c r="D40" s="35">
        <f>Лист1!G152</f>
        <v>10000</v>
      </c>
      <c r="E40" s="35">
        <f>Лист1!H152</f>
        <v>0</v>
      </c>
      <c r="F40" s="35">
        <f>Лист1!J152</f>
        <v>0</v>
      </c>
      <c r="G40" s="35">
        <f>Лист1!K152</f>
        <v>0</v>
      </c>
      <c r="H40" s="35">
        <f>Лист1!L152</f>
        <v>0</v>
      </c>
      <c r="I40" s="62">
        <f t="shared" si="0"/>
        <v>0</v>
      </c>
      <c r="J40" s="67">
        <f t="shared" si="1"/>
        <v>0</v>
      </c>
    </row>
    <row r="41" spans="1:10" ht="33">
      <c r="A41" s="9" t="s">
        <v>245</v>
      </c>
      <c r="B41" s="24" t="s">
        <v>246</v>
      </c>
      <c r="C41" s="35">
        <f>Лист1!F155</f>
        <v>9750</v>
      </c>
      <c r="D41" s="35">
        <f>Лист1!G155</f>
        <v>9750</v>
      </c>
      <c r="E41" s="35">
        <f>Лист1!H155</f>
        <v>0</v>
      </c>
      <c r="F41" s="35">
        <f>Лист1!J155</f>
        <v>0</v>
      </c>
      <c r="G41" s="35">
        <f>Лист1!K155</f>
        <v>0</v>
      </c>
      <c r="H41" s="35">
        <f>Лист1!L155</f>
        <v>0</v>
      </c>
      <c r="I41" s="62">
        <f t="shared" si="0"/>
        <v>0</v>
      </c>
      <c r="J41" s="67">
        <f t="shared" si="1"/>
        <v>0</v>
      </c>
    </row>
    <row r="42" spans="1:10" ht="33">
      <c r="A42" s="1" t="s">
        <v>249</v>
      </c>
      <c r="B42" s="32" t="s">
        <v>250</v>
      </c>
      <c r="C42" s="34">
        <f>Лист1!F158</f>
        <v>2613147.2000000002</v>
      </c>
      <c r="D42" s="34">
        <f>Лист1!G158</f>
        <v>523000</v>
      </c>
      <c r="E42" s="34">
        <f>Лист1!H158</f>
        <v>1821268.7</v>
      </c>
      <c r="F42" s="34">
        <f>Лист1!J158</f>
        <v>2557080.7999999998</v>
      </c>
      <c r="G42" s="34">
        <f>Лист1!K158</f>
        <v>519727.1</v>
      </c>
      <c r="H42" s="34">
        <f>Лист1!L158</f>
        <v>1768568.7</v>
      </c>
      <c r="I42" s="44">
        <f t="shared" si="0"/>
        <v>0.97899999999999998</v>
      </c>
      <c r="J42" s="67"/>
    </row>
    <row r="43" spans="1:10" ht="33">
      <c r="A43" s="9" t="s">
        <v>251</v>
      </c>
      <c r="B43" s="24" t="s">
        <v>252</v>
      </c>
      <c r="C43" s="35">
        <f>Лист1!F159</f>
        <v>2613147.2000000002</v>
      </c>
      <c r="D43" s="35">
        <f>Лист1!G159</f>
        <v>523000</v>
      </c>
      <c r="E43" s="35">
        <f>Лист1!H159</f>
        <v>1821268.7</v>
      </c>
      <c r="F43" s="35">
        <f>Лист1!J159</f>
        <v>2557080.7999999998</v>
      </c>
      <c r="G43" s="35">
        <f>Лист1!K159</f>
        <v>519727.1</v>
      </c>
      <c r="H43" s="35">
        <f>Лист1!L159</f>
        <v>1768568.7</v>
      </c>
      <c r="I43" s="45">
        <f t="shared" si="0"/>
        <v>0.97899999999999998</v>
      </c>
      <c r="J43" s="70">
        <f t="shared" si="1"/>
        <v>2.56</v>
      </c>
    </row>
    <row r="44" spans="1:10" ht="16.5">
      <c r="A44" s="1" t="s">
        <v>256</v>
      </c>
      <c r="B44" s="31" t="s">
        <v>257</v>
      </c>
      <c r="C44" s="34">
        <f>Лист1!F162</f>
        <v>147866.70000000001</v>
      </c>
      <c r="D44" s="34">
        <f>Лист1!G162</f>
        <v>45752</v>
      </c>
      <c r="E44" s="34">
        <f>Лист1!H162</f>
        <v>86496.9</v>
      </c>
      <c r="F44" s="34">
        <f>Лист1!J162</f>
        <v>147866.70000000001</v>
      </c>
      <c r="G44" s="34">
        <f>Лист1!K162</f>
        <v>45752</v>
      </c>
      <c r="H44" s="34">
        <f>Лист1!L162</f>
        <v>86496.9</v>
      </c>
      <c r="I44" s="44">
        <f t="shared" si="0"/>
        <v>1</v>
      </c>
      <c r="J44" s="67"/>
    </row>
    <row r="45" spans="1:10" ht="33">
      <c r="A45" s="9" t="s">
        <v>258</v>
      </c>
      <c r="B45" s="24" t="s">
        <v>259</v>
      </c>
      <c r="C45" s="35">
        <f>Лист1!F163</f>
        <v>101344</v>
      </c>
      <c r="D45" s="35">
        <f>Лист1!G163</f>
        <v>7774.3</v>
      </c>
      <c r="E45" s="35">
        <f>Лист1!H163</f>
        <v>77956.899999999994</v>
      </c>
      <c r="F45" s="35">
        <f>Лист1!J163</f>
        <v>101344</v>
      </c>
      <c r="G45" s="35">
        <f>Лист1!K163</f>
        <v>7774.3</v>
      </c>
      <c r="H45" s="35">
        <f>Лист1!L163</f>
        <v>77956.899999999994</v>
      </c>
      <c r="I45" s="45">
        <f t="shared" si="0"/>
        <v>1</v>
      </c>
      <c r="J45" s="67">
        <f t="shared" si="1"/>
        <v>0.1</v>
      </c>
    </row>
    <row r="46" spans="1:10" ht="33">
      <c r="A46" s="9" t="s">
        <v>264</v>
      </c>
      <c r="B46" s="24" t="s">
        <v>265</v>
      </c>
      <c r="C46" s="35">
        <f>Лист1!F167</f>
        <v>8545</v>
      </c>
      <c r="D46" s="35">
        <f>Лист1!G167</f>
        <v>0</v>
      </c>
      <c r="E46" s="35">
        <f>Лист1!H167</f>
        <v>8540</v>
      </c>
      <c r="F46" s="35">
        <f>Лист1!J167</f>
        <v>8545</v>
      </c>
      <c r="G46" s="35">
        <f>Лист1!K167</f>
        <v>0</v>
      </c>
      <c r="H46" s="35">
        <f>Лист1!L167</f>
        <v>8540</v>
      </c>
      <c r="I46" s="45">
        <f t="shared" si="0"/>
        <v>1</v>
      </c>
      <c r="J46" s="67">
        <f t="shared" si="1"/>
        <v>0.01</v>
      </c>
    </row>
    <row r="47" spans="1:10" ht="33">
      <c r="A47" s="9" t="s">
        <v>268</v>
      </c>
      <c r="B47" s="24" t="s">
        <v>269</v>
      </c>
      <c r="C47" s="35">
        <f>Лист1!F170</f>
        <v>37977.699999999997</v>
      </c>
      <c r="D47" s="35">
        <f>Лист1!G170</f>
        <v>37977.699999999997</v>
      </c>
      <c r="E47" s="35">
        <f>Лист1!H170</f>
        <v>0</v>
      </c>
      <c r="F47" s="35">
        <f>Лист1!J170</f>
        <v>37977.699999999997</v>
      </c>
      <c r="G47" s="35">
        <f>Лист1!K170</f>
        <v>37977.699999999997</v>
      </c>
      <c r="H47" s="35">
        <f>Лист1!L170</f>
        <v>0</v>
      </c>
      <c r="I47" s="45">
        <f t="shared" si="0"/>
        <v>1</v>
      </c>
      <c r="J47" s="67">
        <f t="shared" si="1"/>
        <v>0.04</v>
      </c>
    </row>
    <row r="48" spans="1:10" ht="66">
      <c r="A48" s="1" t="s">
        <v>274</v>
      </c>
      <c r="B48" s="32" t="s">
        <v>275</v>
      </c>
      <c r="C48" s="34">
        <f>Лист1!F174</f>
        <v>213819.9</v>
      </c>
      <c r="D48" s="34">
        <f>Лист1!G174</f>
        <v>7645.5</v>
      </c>
      <c r="E48" s="34">
        <f>Лист1!H174</f>
        <v>205631.8</v>
      </c>
      <c r="F48" s="34">
        <f>Лист1!J174</f>
        <v>202003.7</v>
      </c>
      <c r="G48" s="34">
        <f>Лист1!K174</f>
        <v>6738.7</v>
      </c>
      <c r="H48" s="34">
        <f>Лист1!L174</f>
        <v>195265</v>
      </c>
      <c r="I48" s="44">
        <f t="shared" si="0"/>
        <v>0.94499999999999995</v>
      </c>
      <c r="J48" s="67"/>
    </row>
    <row r="49" spans="1:10" ht="82.5">
      <c r="A49" s="9" t="s">
        <v>276</v>
      </c>
      <c r="B49" s="24" t="s">
        <v>277</v>
      </c>
      <c r="C49" s="35">
        <f>Лист1!F175</f>
        <v>16405.099999999999</v>
      </c>
      <c r="D49" s="35">
        <f>Лист1!G175</f>
        <v>492.2</v>
      </c>
      <c r="E49" s="35">
        <f>Лист1!H175</f>
        <v>15912.9</v>
      </c>
      <c r="F49" s="35">
        <f>Лист1!J175</f>
        <v>16405.099999999999</v>
      </c>
      <c r="G49" s="35">
        <f>Лист1!K175</f>
        <v>492.2</v>
      </c>
      <c r="H49" s="35">
        <f>Лист1!L175</f>
        <v>15912.9</v>
      </c>
      <c r="I49" s="45">
        <f t="shared" si="0"/>
        <v>1</v>
      </c>
      <c r="J49" s="67">
        <f t="shared" si="1"/>
        <v>0.02</v>
      </c>
    </row>
    <row r="50" spans="1:10" ht="49.5">
      <c r="A50" s="9" t="s">
        <v>282</v>
      </c>
      <c r="B50" s="24" t="s">
        <v>283</v>
      </c>
      <c r="C50" s="35">
        <f>Лист1!F179</f>
        <v>160995.9</v>
      </c>
      <c r="D50" s="35">
        <f>Лист1!G179</f>
        <v>4813.6000000000004</v>
      </c>
      <c r="E50" s="35">
        <f>Лист1!H179</f>
        <v>155639.70000000001</v>
      </c>
      <c r="F50" s="35">
        <f>Лист1!J179</f>
        <v>150144</v>
      </c>
      <c r="G50" s="35">
        <f>Лист1!K179</f>
        <v>4504.3</v>
      </c>
      <c r="H50" s="35">
        <f>Лист1!L179</f>
        <v>145639.70000000001</v>
      </c>
      <c r="I50" s="45">
        <f t="shared" si="0"/>
        <v>0.93300000000000005</v>
      </c>
      <c r="J50" s="69">
        <f t="shared" si="1"/>
        <v>0.15</v>
      </c>
    </row>
    <row r="51" spans="1:10" ht="33">
      <c r="A51" s="9" t="s">
        <v>291</v>
      </c>
      <c r="B51" s="24" t="s">
        <v>292</v>
      </c>
      <c r="C51" s="35">
        <f>Лист1!F185</f>
        <v>9090.4</v>
      </c>
      <c r="D51" s="35">
        <f>Лист1!G185</f>
        <v>272.7</v>
      </c>
      <c r="E51" s="35">
        <f>Лист1!H185</f>
        <v>8817.7000000000007</v>
      </c>
      <c r="F51" s="35">
        <f>Лист1!J185</f>
        <v>9090.4</v>
      </c>
      <c r="G51" s="35">
        <f>Лист1!K185</f>
        <v>272.7</v>
      </c>
      <c r="H51" s="35">
        <f>Лист1!L185</f>
        <v>8817.7000000000007</v>
      </c>
      <c r="I51" s="45">
        <f t="shared" si="0"/>
        <v>1</v>
      </c>
      <c r="J51" s="67">
        <f t="shared" si="1"/>
        <v>0.01</v>
      </c>
    </row>
    <row r="52" spans="1:10" ht="49.5">
      <c r="A52" s="9" t="s">
        <v>294</v>
      </c>
      <c r="B52" s="24" t="s">
        <v>295</v>
      </c>
      <c r="C52" s="35">
        <f>Лист1!F188</f>
        <v>27328.5</v>
      </c>
      <c r="D52" s="35">
        <f>Лист1!G188</f>
        <v>2067</v>
      </c>
      <c r="E52" s="35">
        <f>Лист1!H188</f>
        <v>25261.5</v>
      </c>
      <c r="F52" s="35">
        <f>Лист1!J188</f>
        <v>26364.2</v>
      </c>
      <c r="G52" s="35">
        <f>Лист1!K188</f>
        <v>1469.5</v>
      </c>
      <c r="H52" s="35">
        <f>Лист1!L188</f>
        <v>24894.7</v>
      </c>
      <c r="I52" s="45">
        <f t="shared" si="0"/>
        <v>0.96499999999999997</v>
      </c>
      <c r="J52" s="67">
        <f t="shared" si="1"/>
        <v>0.03</v>
      </c>
    </row>
    <row r="53" spans="1:10" ht="49.5">
      <c r="A53" s="1" t="s">
        <v>304</v>
      </c>
      <c r="B53" s="32" t="s">
        <v>305</v>
      </c>
      <c r="C53" s="34">
        <f>Лист1!F194</f>
        <v>84989.8</v>
      </c>
      <c r="D53" s="34">
        <f>Лист1!G194</f>
        <v>11735.7</v>
      </c>
      <c r="E53" s="34">
        <f>Лист1!H194</f>
        <v>73254.100000000006</v>
      </c>
      <c r="F53" s="34">
        <f>Лист1!J194</f>
        <v>20974</v>
      </c>
      <c r="G53" s="34">
        <f>Лист1!K194</f>
        <v>10028.200000000001</v>
      </c>
      <c r="H53" s="34">
        <f>Лист1!L194</f>
        <v>10945.8</v>
      </c>
      <c r="I53" s="44">
        <f t="shared" si="0"/>
        <v>0.247</v>
      </c>
      <c r="J53" s="67"/>
    </row>
    <row r="54" spans="1:10" ht="66">
      <c r="A54" s="79" t="s">
        <v>306</v>
      </c>
      <c r="B54" s="76" t="s">
        <v>307</v>
      </c>
      <c r="C54" s="77">
        <f>Лист1!F195</f>
        <v>38275.800000000003</v>
      </c>
      <c r="D54" s="77">
        <f>Лист1!G195</f>
        <v>9400</v>
      </c>
      <c r="E54" s="77">
        <f>Лист1!H195</f>
        <v>28875.8</v>
      </c>
      <c r="F54" s="77">
        <f>Лист1!J195</f>
        <v>13900</v>
      </c>
      <c r="G54" s="77">
        <f>Лист1!K195</f>
        <v>9400</v>
      </c>
      <c r="H54" s="77">
        <f>Лист1!L195</f>
        <v>4500</v>
      </c>
      <c r="I54" s="80">
        <f t="shared" si="0"/>
        <v>0.36299999999999999</v>
      </c>
      <c r="J54" s="67">
        <f t="shared" si="1"/>
        <v>0.01</v>
      </c>
    </row>
    <row r="55" spans="1:10" ht="66">
      <c r="A55" s="75" t="s">
        <v>313</v>
      </c>
      <c r="B55" s="76" t="s">
        <v>314</v>
      </c>
      <c r="C55" s="77">
        <f>Лист1!F201</f>
        <v>46714</v>
      </c>
      <c r="D55" s="77">
        <f>Лист1!G201</f>
        <v>2335.6999999999998</v>
      </c>
      <c r="E55" s="77">
        <f>Лист1!H201</f>
        <v>44378.3</v>
      </c>
      <c r="F55" s="77">
        <f>Лист1!J201</f>
        <v>7074</v>
      </c>
      <c r="G55" s="77">
        <f>Лист1!K201</f>
        <v>628.20000000000005</v>
      </c>
      <c r="H55" s="77">
        <f>Лист1!L201</f>
        <v>6445.8</v>
      </c>
      <c r="I55" s="78">
        <f t="shared" si="0"/>
        <v>0.151</v>
      </c>
      <c r="J55" s="67">
        <f t="shared" si="1"/>
        <v>0.01</v>
      </c>
    </row>
    <row r="59" spans="1:10">
      <c r="C59" s="49"/>
      <c r="D59" s="49"/>
      <c r="E59" s="49"/>
      <c r="F59" s="49"/>
      <c r="G59" s="49"/>
      <c r="H59" s="49"/>
    </row>
  </sheetData>
  <autoFilter ref="A4:I7">
    <filterColumn colId="2" showButton="0"/>
    <filterColumn colId="3" showButton="0"/>
    <filterColumn colId="4" showButton="0"/>
    <filterColumn colId="5" showButton="0"/>
    <filterColumn colId="6" showButton="0"/>
    <sortState ref="A9:I9">
      <sortCondition ref="I7"/>
    </sortState>
  </autoFilter>
  <mergeCells count="7">
    <mergeCell ref="I4:I6"/>
    <mergeCell ref="C5:E5"/>
    <mergeCell ref="F5:H5"/>
    <mergeCell ref="B1:H2"/>
    <mergeCell ref="A4:A6"/>
    <mergeCell ref="B4:B6"/>
    <mergeCell ref="C4:H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13"/>
  <sheetViews>
    <sheetView topLeftCell="A168" workbookViewId="0">
      <selection activeCell="B204" sqref="B204:G213"/>
    </sheetView>
  </sheetViews>
  <sheetFormatPr defaultRowHeight="15"/>
  <cols>
    <col min="1" max="1" width="6.42578125" customWidth="1"/>
    <col min="2" max="2" width="49" customWidth="1"/>
    <col min="3" max="3" width="15.5703125" customWidth="1"/>
    <col min="4" max="4" width="15.28515625" customWidth="1"/>
    <col min="5" max="6" width="16.7109375" customWidth="1"/>
    <col min="7" max="7" width="19.85546875" customWidth="1"/>
  </cols>
  <sheetData>
    <row r="1" spans="1:7">
      <c r="A1" s="108"/>
      <c r="B1" s="108"/>
      <c r="C1" s="108"/>
      <c r="D1" s="108"/>
      <c r="E1" s="108"/>
      <c r="F1" s="108"/>
      <c r="G1" s="109"/>
    </row>
    <row r="2" spans="1:7" ht="17.25">
      <c r="A2" s="105"/>
      <c r="B2" s="93" t="s">
        <v>16</v>
      </c>
      <c r="C2" s="106"/>
      <c r="D2" s="107">
        <f>D3+D64+D37+D101+D125+D137+D152+D156+D168+D188</f>
        <v>3.4220000000000002</v>
      </c>
      <c r="E2" s="107">
        <f>E3+E64+E37+E101+E125+E137+E152+E156+E168+E188</f>
        <v>6.2549999999999999</v>
      </c>
      <c r="F2" s="107">
        <f>F3+F64+F37+F101+F125+F137+F152+F156+F168+F188</f>
        <v>0.63100000000000001</v>
      </c>
      <c r="G2" s="109">
        <v>100</v>
      </c>
    </row>
    <row r="3" spans="1:7" ht="16.5">
      <c r="A3" s="92">
        <v>1</v>
      </c>
      <c r="B3" s="95" t="s">
        <v>17</v>
      </c>
      <c r="C3" s="94">
        <f>SUM(D3+E3+F3)</f>
        <v>2.988</v>
      </c>
      <c r="D3" s="96">
        <v>1.5740000000000001</v>
      </c>
      <c r="E3" s="96">
        <v>1.37</v>
      </c>
      <c r="F3" s="96">
        <v>4.3999999999999997E-2</v>
      </c>
      <c r="G3" s="109">
        <v>29</v>
      </c>
    </row>
    <row r="4" spans="1:7" ht="33" hidden="1">
      <c r="A4" s="92" t="s">
        <v>19</v>
      </c>
      <c r="B4" s="103" t="s">
        <v>20</v>
      </c>
      <c r="C4" s="94">
        <f t="shared" ref="C4:C67" si="0">SUM(D4+E4+F4)</f>
        <v>348929.6</v>
      </c>
      <c r="D4" s="96">
        <v>15230.8</v>
      </c>
      <c r="E4" s="96">
        <v>333698.8</v>
      </c>
      <c r="F4" s="96">
        <v>0</v>
      </c>
      <c r="G4" s="109"/>
    </row>
    <row r="5" spans="1:7" ht="16.5" hidden="1">
      <c r="A5" s="92"/>
      <c r="B5" s="95" t="s">
        <v>21</v>
      </c>
      <c r="C5" s="94">
        <f t="shared" si="0"/>
        <v>0</v>
      </c>
      <c r="D5" s="96"/>
      <c r="E5" s="96"/>
      <c r="F5" s="96"/>
      <c r="G5" s="109"/>
    </row>
    <row r="6" spans="1:7" ht="66" hidden="1">
      <c r="A6" s="92" t="s">
        <v>22</v>
      </c>
      <c r="B6" s="97" t="s">
        <v>23</v>
      </c>
      <c r="C6" s="94">
        <f t="shared" si="0"/>
        <v>18193.5</v>
      </c>
      <c r="D6" s="96">
        <v>909.7</v>
      </c>
      <c r="E6" s="96">
        <v>17283.8</v>
      </c>
      <c r="F6" s="96"/>
      <c r="G6" s="109"/>
    </row>
    <row r="7" spans="1:7" ht="82.5" hidden="1">
      <c r="A7" s="148" t="s">
        <v>22</v>
      </c>
      <c r="B7" s="98" t="s">
        <v>361</v>
      </c>
      <c r="C7" s="94">
        <f t="shared" si="0"/>
        <v>2346.6999999999998</v>
      </c>
      <c r="D7" s="96">
        <v>117.4</v>
      </c>
      <c r="E7" s="96">
        <v>2229.3000000000002</v>
      </c>
      <c r="F7" s="96"/>
      <c r="G7" s="109"/>
    </row>
    <row r="8" spans="1:7" ht="66" hidden="1">
      <c r="A8" s="149"/>
      <c r="B8" s="99" t="s">
        <v>358</v>
      </c>
      <c r="C8" s="94">
        <f t="shared" si="0"/>
        <v>8083</v>
      </c>
      <c r="D8" s="96">
        <v>404.1</v>
      </c>
      <c r="E8" s="96">
        <v>7678.9</v>
      </c>
      <c r="F8" s="96"/>
      <c r="G8" s="109"/>
    </row>
    <row r="9" spans="1:7" ht="148.5" hidden="1">
      <c r="A9" s="92" t="s">
        <v>22</v>
      </c>
      <c r="B9" s="97" t="s">
        <v>27</v>
      </c>
      <c r="C9" s="94">
        <f t="shared" si="0"/>
        <v>0</v>
      </c>
      <c r="D9" s="96"/>
      <c r="E9" s="96"/>
      <c r="F9" s="96"/>
      <c r="G9" s="109"/>
    </row>
    <row r="10" spans="1:7" ht="66" hidden="1">
      <c r="A10" s="92"/>
      <c r="B10" s="97" t="s">
        <v>329</v>
      </c>
      <c r="C10" s="94">
        <f t="shared" si="0"/>
        <v>3539.6</v>
      </c>
      <c r="D10" s="96">
        <v>3539.6</v>
      </c>
      <c r="E10" s="96"/>
      <c r="F10" s="96"/>
      <c r="G10" s="109"/>
    </row>
    <row r="11" spans="1:7" ht="82.5" hidden="1">
      <c r="A11" s="92" t="s">
        <v>22</v>
      </c>
      <c r="B11" s="97" t="s">
        <v>30</v>
      </c>
      <c r="C11" s="94">
        <f t="shared" si="0"/>
        <v>1634.4</v>
      </c>
      <c r="D11" s="96"/>
      <c r="E11" s="96">
        <v>1634.4</v>
      </c>
      <c r="F11" s="96"/>
      <c r="G11" s="109"/>
    </row>
    <row r="12" spans="1:7" ht="82.5" hidden="1">
      <c r="A12" s="92" t="s">
        <v>32</v>
      </c>
      <c r="B12" s="97" t="s">
        <v>33</v>
      </c>
      <c r="C12" s="94">
        <f t="shared" si="0"/>
        <v>292352.09999999998</v>
      </c>
      <c r="D12" s="96">
        <v>9334.6</v>
      </c>
      <c r="E12" s="96">
        <v>283017.5</v>
      </c>
      <c r="F12" s="96"/>
      <c r="G12" s="109"/>
    </row>
    <row r="13" spans="1:7" ht="16.5" hidden="1">
      <c r="A13" s="92" t="s">
        <v>22</v>
      </c>
      <c r="B13" s="97" t="s">
        <v>36</v>
      </c>
      <c r="C13" s="94">
        <f t="shared" si="0"/>
        <v>22780.3</v>
      </c>
      <c r="D13" s="96">
        <v>925.4</v>
      </c>
      <c r="E13" s="96">
        <v>21854.9</v>
      </c>
      <c r="F13" s="96"/>
      <c r="G13" s="109"/>
    </row>
    <row r="14" spans="1:7" ht="66" hidden="1">
      <c r="A14" s="92"/>
      <c r="B14" s="97" t="s">
        <v>39</v>
      </c>
      <c r="C14" s="94">
        <f t="shared" si="0"/>
        <v>0</v>
      </c>
      <c r="D14" s="96">
        <v>0</v>
      </c>
      <c r="E14" s="96"/>
      <c r="F14" s="96"/>
      <c r="G14" s="109"/>
    </row>
    <row r="15" spans="1:7" ht="33" hidden="1">
      <c r="A15" s="92" t="s">
        <v>41</v>
      </c>
      <c r="B15" s="103" t="s">
        <v>42</v>
      </c>
      <c r="C15" s="94">
        <f t="shared" si="0"/>
        <v>268888</v>
      </c>
      <c r="D15" s="96">
        <v>205926.2</v>
      </c>
      <c r="E15" s="96">
        <v>19758.099999999999</v>
      </c>
      <c r="F15" s="96">
        <v>43203.7</v>
      </c>
      <c r="G15" s="109"/>
    </row>
    <row r="16" spans="1:7" ht="16.5" hidden="1">
      <c r="A16" s="92"/>
      <c r="B16" s="95" t="s">
        <v>21</v>
      </c>
      <c r="C16" s="94">
        <f t="shared" si="0"/>
        <v>0</v>
      </c>
      <c r="D16" s="96"/>
      <c r="E16" s="96"/>
      <c r="F16" s="96"/>
      <c r="G16" s="109"/>
    </row>
    <row r="17" spans="1:7" ht="49.5" hidden="1">
      <c r="A17" s="92" t="s">
        <v>32</v>
      </c>
      <c r="B17" s="97" t="s">
        <v>43</v>
      </c>
      <c r="C17" s="94">
        <f t="shared" si="0"/>
        <v>20999.4</v>
      </c>
      <c r="D17" s="96">
        <v>611.1</v>
      </c>
      <c r="E17" s="96">
        <v>19758.099999999999</v>
      </c>
      <c r="F17" s="96">
        <v>630.20000000000005</v>
      </c>
      <c r="G17" s="109"/>
    </row>
    <row r="18" spans="1:7" ht="49.5" hidden="1">
      <c r="A18" s="92"/>
      <c r="B18" s="97" t="s">
        <v>324</v>
      </c>
      <c r="C18" s="94">
        <f t="shared" si="0"/>
        <v>33614.400000000001</v>
      </c>
      <c r="D18" s="96">
        <v>25122.7</v>
      </c>
      <c r="E18" s="96"/>
      <c r="F18" s="96">
        <v>8491.7000000000007</v>
      </c>
      <c r="G18" s="109"/>
    </row>
    <row r="19" spans="1:7" ht="33" hidden="1">
      <c r="A19" s="92"/>
      <c r="B19" s="97" t="s">
        <v>322</v>
      </c>
      <c r="C19" s="94">
        <f t="shared" si="0"/>
        <v>98459.4</v>
      </c>
      <c r="D19" s="96">
        <v>79000</v>
      </c>
      <c r="E19" s="96"/>
      <c r="F19" s="96">
        <v>19459.400000000001</v>
      </c>
      <c r="G19" s="109"/>
    </row>
    <row r="20" spans="1:7" ht="66" hidden="1">
      <c r="A20" s="92"/>
      <c r="B20" s="97" t="s">
        <v>46</v>
      </c>
      <c r="C20" s="94">
        <f t="shared" si="0"/>
        <v>0</v>
      </c>
      <c r="D20" s="96"/>
      <c r="E20" s="96"/>
      <c r="F20" s="96"/>
      <c r="G20" s="109"/>
    </row>
    <row r="21" spans="1:7" ht="66" hidden="1">
      <c r="A21" s="92"/>
      <c r="B21" s="97" t="s">
        <v>48</v>
      </c>
      <c r="C21" s="94">
        <f t="shared" si="0"/>
        <v>0</v>
      </c>
      <c r="D21" s="96"/>
      <c r="E21" s="96"/>
      <c r="F21" s="96"/>
      <c r="G21" s="109"/>
    </row>
    <row r="22" spans="1:7" ht="165" hidden="1">
      <c r="A22" s="92"/>
      <c r="B22" s="97" t="s">
        <v>50</v>
      </c>
      <c r="C22" s="94">
        <f t="shared" si="0"/>
        <v>10044.700000000001</v>
      </c>
      <c r="D22" s="96">
        <v>9000</v>
      </c>
      <c r="E22" s="96"/>
      <c r="F22" s="96">
        <v>1044.7</v>
      </c>
      <c r="G22" s="109"/>
    </row>
    <row r="23" spans="1:7" ht="33" hidden="1">
      <c r="A23" s="92"/>
      <c r="B23" s="97" t="s">
        <v>52</v>
      </c>
      <c r="C23" s="94">
        <f t="shared" si="0"/>
        <v>31479.3</v>
      </c>
      <c r="D23" s="96">
        <v>30000</v>
      </c>
      <c r="E23" s="96"/>
      <c r="F23" s="96">
        <v>1479.3</v>
      </c>
      <c r="G23" s="109"/>
    </row>
    <row r="24" spans="1:7" ht="33" hidden="1">
      <c r="A24" s="92"/>
      <c r="B24" s="97" t="s">
        <v>54</v>
      </c>
      <c r="C24" s="94">
        <f t="shared" si="0"/>
        <v>74290.8</v>
      </c>
      <c r="D24" s="96">
        <v>62192.4</v>
      </c>
      <c r="E24" s="96"/>
      <c r="F24" s="96">
        <v>12098.4</v>
      </c>
      <c r="G24" s="109"/>
    </row>
    <row r="25" spans="1:7" ht="66" hidden="1">
      <c r="A25" s="92" t="s">
        <v>56</v>
      </c>
      <c r="B25" s="103" t="s">
        <v>57</v>
      </c>
      <c r="C25" s="94">
        <f t="shared" si="0"/>
        <v>1220534.1000000001</v>
      </c>
      <c r="D25" s="96">
        <v>572787.30000000005</v>
      </c>
      <c r="E25" s="96">
        <v>646684.69999999995</v>
      </c>
      <c r="F25" s="96">
        <v>1062.0999999999999</v>
      </c>
      <c r="G25" s="109"/>
    </row>
    <row r="26" spans="1:7" ht="16.5" hidden="1">
      <c r="A26" s="92"/>
      <c r="B26" s="95" t="s">
        <v>21</v>
      </c>
      <c r="C26" s="94">
        <f t="shared" si="0"/>
        <v>0</v>
      </c>
      <c r="D26" s="96"/>
      <c r="E26" s="96"/>
      <c r="F26" s="96"/>
      <c r="G26" s="109"/>
    </row>
    <row r="27" spans="1:7" ht="99" hidden="1">
      <c r="A27" s="92" t="s">
        <v>22</v>
      </c>
      <c r="B27" s="97" t="s">
        <v>58</v>
      </c>
      <c r="C27" s="94">
        <f t="shared" si="0"/>
        <v>405131.3</v>
      </c>
      <c r="D27" s="96">
        <v>239180.2</v>
      </c>
      <c r="E27" s="96">
        <v>165537.60000000001</v>
      </c>
      <c r="F27" s="96">
        <v>413.5</v>
      </c>
      <c r="G27" s="109"/>
    </row>
    <row r="28" spans="1:7" ht="99" hidden="1">
      <c r="A28" s="92" t="s">
        <v>32</v>
      </c>
      <c r="B28" s="97" t="s">
        <v>60</v>
      </c>
      <c r="C28" s="94">
        <f t="shared" si="0"/>
        <v>807012.7</v>
      </c>
      <c r="D28" s="96">
        <v>325217</v>
      </c>
      <c r="E28" s="96">
        <v>481147.1</v>
      </c>
      <c r="F28" s="96">
        <v>648.6</v>
      </c>
      <c r="G28" s="109"/>
    </row>
    <row r="29" spans="1:7" ht="49.5" hidden="1">
      <c r="A29" s="92"/>
      <c r="B29" s="97" t="s">
        <v>353</v>
      </c>
      <c r="C29" s="94">
        <f t="shared" si="0"/>
        <v>8390.1</v>
      </c>
      <c r="D29" s="96">
        <v>8390.1</v>
      </c>
      <c r="E29" s="96"/>
      <c r="F29" s="96"/>
      <c r="G29" s="109"/>
    </row>
    <row r="30" spans="1:7" ht="33" hidden="1">
      <c r="A30" s="92" t="s">
        <v>62</v>
      </c>
      <c r="B30" s="103" t="s">
        <v>63</v>
      </c>
      <c r="C30" s="94">
        <f t="shared" si="0"/>
        <v>1145620.7</v>
      </c>
      <c r="D30" s="96">
        <v>776166.8</v>
      </c>
      <c r="E30" s="96">
        <v>369453.9</v>
      </c>
      <c r="F30" s="96">
        <v>0</v>
      </c>
      <c r="G30" s="109"/>
    </row>
    <row r="31" spans="1:7" ht="16.5" hidden="1">
      <c r="A31" s="92"/>
      <c r="B31" s="95" t="s">
        <v>21</v>
      </c>
      <c r="C31" s="94">
        <f t="shared" si="0"/>
        <v>0</v>
      </c>
      <c r="D31" s="96"/>
      <c r="E31" s="96"/>
      <c r="F31" s="96"/>
      <c r="G31" s="109"/>
    </row>
    <row r="32" spans="1:7" ht="49.5" hidden="1">
      <c r="A32" s="92" t="s">
        <v>64</v>
      </c>
      <c r="B32" s="97" t="s">
        <v>65</v>
      </c>
      <c r="C32" s="94">
        <f t="shared" si="0"/>
        <v>369453.9</v>
      </c>
      <c r="D32" s="96"/>
      <c r="E32" s="96">
        <v>369453.9</v>
      </c>
      <c r="F32" s="96"/>
      <c r="G32" s="109"/>
    </row>
    <row r="33" spans="1:7" ht="82.5" hidden="1">
      <c r="A33" s="92"/>
      <c r="B33" s="97" t="s">
        <v>67</v>
      </c>
      <c r="C33" s="94">
        <f t="shared" si="0"/>
        <v>776166.8</v>
      </c>
      <c r="D33" s="96">
        <v>776166.8</v>
      </c>
      <c r="E33" s="96"/>
      <c r="F33" s="96"/>
      <c r="G33" s="109"/>
    </row>
    <row r="34" spans="1:7" ht="33" hidden="1">
      <c r="A34" s="92" t="s">
        <v>69</v>
      </c>
      <c r="B34" s="103" t="s">
        <v>70</v>
      </c>
      <c r="C34" s="94">
        <f t="shared" si="0"/>
        <v>3700</v>
      </c>
      <c r="D34" s="96">
        <v>3700</v>
      </c>
      <c r="E34" s="96">
        <v>0</v>
      </c>
      <c r="F34" s="96">
        <v>0</v>
      </c>
      <c r="G34" s="109"/>
    </row>
    <row r="35" spans="1:7" ht="16.5" hidden="1">
      <c r="A35" s="92"/>
      <c r="B35" s="97" t="s">
        <v>21</v>
      </c>
      <c r="C35" s="94">
        <f t="shared" si="0"/>
        <v>0</v>
      </c>
      <c r="D35" s="96"/>
      <c r="E35" s="96"/>
      <c r="F35" s="96"/>
      <c r="G35" s="109"/>
    </row>
    <row r="36" spans="1:7" ht="99" hidden="1">
      <c r="A36" s="92"/>
      <c r="B36" s="97" t="s">
        <v>71</v>
      </c>
      <c r="C36" s="94">
        <f t="shared" si="0"/>
        <v>3700</v>
      </c>
      <c r="D36" s="96">
        <v>3700</v>
      </c>
      <c r="E36" s="96"/>
      <c r="F36" s="96"/>
      <c r="G36" s="109"/>
    </row>
    <row r="37" spans="1:7" ht="16.5">
      <c r="A37" s="92" t="s">
        <v>73</v>
      </c>
      <c r="B37" s="95" t="s">
        <v>74</v>
      </c>
      <c r="C37" s="94">
        <f t="shared" si="0"/>
        <v>1.216</v>
      </c>
      <c r="D37" s="96">
        <v>0.26700000000000002</v>
      </c>
      <c r="E37" s="96">
        <v>0.94899999999999995</v>
      </c>
      <c r="F37" s="96">
        <v>0</v>
      </c>
      <c r="G37" s="109">
        <v>11.8</v>
      </c>
    </row>
    <row r="38" spans="1:7" ht="49.5" hidden="1">
      <c r="A38" s="92" t="s">
        <v>75</v>
      </c>
      <c r="B38" s="103" t="s">
        <v>76</v>
      </c>
      <c r="C38" s="94">
        <f t="shared" si="0"/>
        <v>282225.8</v>
      </c>
      <c r="D38" s="96">
        <v>135045</v>
      </c>
      <c r="E38" s="96">
        <v>147180.79999999999</v>
      </c>
      <c r="F38" s="96">
        <v>0</v>
      </c>
      <c r="G38" s="109"/>
    </row>
    <row r="39" spans="1:7" ht="16.5" hidden="1">
      <c r="A39" s="92"/>
      <c r="B39" s="95" t="s">
        <v>21</v>
      </c>
      <c r="C39" s="94">
        <f t="shared" si="0"/>
        <v>0</v>
      </c>
      <c r="D39" s="96"/>
      <c r="E39" s="96"/>
      <c r="F39" s="96"/>
      <c r="G39" s="109"/>
    </row>
    <row r="40" spans="1:7" ht="82.5" hidden="1">
      <c r="A40" s="92" t="s">
        <v>22</v>
      </c>
      <c r="B40" s="97" t="s">
        <v>77</v>
      </c>
      <c r="C40" s="94">
        <f t="shared" si="0"/>
        <v>0</v>
      </c>
      <c r="D40" s="96"/>
      <c r="E40" s="96"/>
      <c r="F40" s="96"/>
      <c r="G40" s="109"/>
    </row>
    <row r="41" spans="1:7" ht="82.5" hidden="1">
      <c r="A41" s="92" t="s">
        <v>22</v>
      </c>
      <c r="B41" s="97" t="s">
        <v>79</v>
      </c>
      <c r="C41" s="94">
        <f t="shared" si="0"/>
        <v>21521</v>
      </c>
      <c r="D41" s="96"/>
      <c r="E41" s="96">
        <v>21521</v>
      </c>
      <c r="F41" s="96"/>
      <c r="G41" s="109"/>
    </row>
    <row r="42" spans="1:7" ht="66" hidden="1">
      <c r="A42" s="92" t="s">
        <v>32</v>
      </c>
      <c r="B42" s="97" t="s">
        <v>81</v>
      </c>
      <c r="C42" s="94">
        <f t="shared" si="0"/>
        <v>150000</v>
      </c>
      <c r="D42" s="96">
        <v>24340.2</v>
      </c>
      <c r="E42" s="96">
        <v>125659.8</v>
      </c>
      <c r="F42" s="96"/>
      <c r="G42" s="109"/>
    </row>
    <row r="43" spans="1:7" ht="33" hidden="1">
      <c r="A43" s="92"/>
      <c r="B43" s="97" t="s">
        <v>83</v>
      </c>
      <c r="C43" s="94">
        <f t="shared" si="0"/>
        <v>6000</v>
      </c>
      <c r="D43" s="96">
        <v>6000</v>
      </c>
      <c r="E43" s="96"/>
      <c r="F43" s="96"/>
      <c r="G43" s="109"/>
    </row>
    <row r="44" spans="1:7" ht="33" hidden="1">
      <c r="A44" s="92"/>
      <c r="B44" s="97" t="s">
        <v>85</v>
      </c>
      <c r="C44" s="94">
        <f t="shared" si="0"/>
        <v>102804.8</v>
      </c>
      <c r="D44" s="96">
        <v>102804.8</v>
      </c>
      <c r="E44" s="96"/>
      <c r="F44" s="96"/>
      <c r="G44" s="109"/>
    </row>
    <row r="45" spans="1:7" ht="82.5" hidden="1">
      <c r="A45" s="92"/>
      <c r="B45" s="97" t="s">
        <v>87</v>
      </c>
      <c r="C45" s="94">
        <f t="shared" si="0"/>
        <v>1900</v>
      </c>
      <c r="D45" s="96">
        <v>1900</v>
      </c>
      <c r="E45" s="96"/>
      <c r="F45" s="96"/>
      <c r="G45" s="109"/>
    </row>
    <row r="46" spans="1:7" ht="33" hidden="1">
      <c r="A46" s="92" t="s">
        <v>89</v>
      </c>
      <c r="B46" s="103" t="s">
        <v>90</v>
      </c>
      <c r="C46" s="94">
        <f t="shared" si="0"/>
        <v>80052.5</v>
      </c>
      <c r="D46" s="96">
        <v>5500</v>
      </c>
      <c r="E46" s="96">
        <v>74552.5</v>
      </c>
      <c r="F46" s="96">
        <v>0</v>
      </c>
      <c r="G46" s="109"/>
    </row>
    <row r="47" spans="1:7" ht="16.5" hidden="1">
      <c r="A47" s="92"/>
      <c r="B47" s="95" t="s">
        <v>21</v>
      </c>
      <c r="C47" s="94">
        <f t="shared" si="0"/>
        <v>0</v>
      </c>
      <c r="D47" s="96"/>
      <c r="E47" s="96"/>
      <c r="F47" s="96"/>
      <c r="G47" s="109"/>
    </row>
    <row r="48" spans="1:7" ht="49.5" hidden="1">
      <c r="A48" s="100" t="s">
        <v>22</v>
      </c>
      <c r="B48" s="101" t="s">
        <v>91</v>
      </c>
      <c r="C48" s="94">
        <f t="shared" si="0"/>
        <v>74552.5</v>
      </c>
      <c r="D48" s="102"/>
      <c r="E48" s="102">
        <v>74552.5</v>
      </c>
      <c r="F48" s="102"/>
      <c r="G48" s="109"/>
    </row>
    <row r="49" spans="1:7" ht="66" hidden="1">
      <c r="A49" s="100"/>
      <c r="B49" s="101" t="s">
        <v>93</v>
      </c>
      <c r="C49" s="94">
        <f t="shared" si="0"/>
        <v>5500</v>
      </c>
      <c r="D49" s="102">
        <v>5500</v>
      </c>
      <c r="E49" s="102"/>
      <c r="F49" s="102"/>
      <c r="G49" s="109"/>
    </row>
    <row r="50" spans="1:7" ht="66" hidden="1">
      <c r="A50" s="92" t="s">
        <v>95</v>
      </c>
      <c r="B50" s="103" t="s">
        <v>96</v>
      </c>
      <c r="C50" s="94">
        <f t="shared" si="0"/>
        <v>106204.4</v>
      </c>
      <c r="D50" s="96">
        <v>20129.8</v>
      </c>
      <c r="E50" s="96">
        <v>86074.6</v>
      </c>
      <c r="F50" s="96">
        <v>0</v>
      </c>
      <c r="G50" s="109"/>
    </row>
    <row r="51" spans="1:7" ht="16.5" hidden="1">
      <c r="A51" s="92"/>
      <c r="B51" s="95" t="s">
        <v>21</v>
      </c>
      <c r="C51" s="94">
        <f t="shared" si="0"/>
        <v>0</v>
      </c>
      <c r="D51" s="96"/>
      <c r="E51" s="96"/>
      <c r="F51" s="96"/>
      <c r="G51" s="109"/>
    </row>
    <row r="52" spans="1:7" ht="82.5" hidden="1">
      <c r="A52" s="92" t="s">
        <v>32</v>
      </c>
      <c r="B52" s="97" t="s">
        <v>97</v>
      </c>
      <c r="C52" s="94">
        <f t="shared" si="0"/>
        <v>103704.4</v>
      </c>
      <c r="D52" s="96">
        <v>17629.8</v>
      </c>
      <c r="E52" s="96">
        <v>86074.6</v>
      </c>
      <c r="F52" s="96"/>
      <c r="G52" s="109"/>
    </row>
    <row r="53" spans="1:7" ht="33" hidden="1">
      <c r="A53" s="92"/>
      <c r="B53" s="97" t="s">
        <v>99</v>
      </c>
      <c r="C53" s="94">
        <f t="shared" si="0"/>
        <v>2500</v>
      </c>
      <c r="D53" s="96">
        <v>2500</v>
      </c>
      <c r="E53" s="96"/>
      <c r="F53" s="96"/>
      <c r="G53" s="109"/>
    </row>
    <row r="54" spans="1:7" ht="82.5" hidden="1">
      <c r="A54" s="92" t="s">
        <v>101</v>
      </c>
      <c r="B54" s="103" t="s">
        <v>102</v>
      </c>
      <c r="C54" s="94">
        <f t="shared" si="0"/>
        <v>138662</v>
      </c>
      <c r="D54" s="96">
        <v>26290</v>
      </c>
      <c r="E54" s="96">
        <v>112372</v>
      </c>
      <c r="F54" s="96">
        <v>0</v>
      </c>
      <c r="G54" s="109"/>
    </row>
    <row r="55" spans="1:7" ht="16.5" hidden="1">
      <c r="A55" s="92"/>
      <c r="B55" s="95" t="s">
        <v>21</v>
      </c>
      <c r="C55" s="94">
        <f t="shared" si="0"/>
        <v>0</v>
      </c>
      <c r="D55" s="96"/>
      <c r="E55" s="96"/>
      <c r="F55" s="96"/>
      <c r="G55" s="109"/>
    </row>
    <row r="56" spans="1:7" ht="82.5" hidden="1">
      <c r="A56" s="92" t="s">
        <v>32</v>
      </c>
      <c r="B56" s="97" t="s">
        <v>103</v>
      </c>
      <c r="C56" s="94">
        <f t="shared" si="0"/>
        <v>130162</v>
      </c>
      <c r="D56" s="96">
        <v>17790</v>
      </c>
      <c r="E56" s="96">
        <v>112372</v>
      </c>
      <c r="F56" s="96"/>
      <c r="G56" s="109"/>
    </row>
    <row r="57" spans="1:7" ht="66" hidden="1">
      <c r="A57" s="92"/>
      <c r="B57" s="97" t="s">
        <v>105</v>
      </c>
      <c r="C57" s="94">
        <f t="shared" si="0"/>
        <v>8500</v>
      </c>
      <c r="D57" s="96">
        <v>8500</v>
      </c>
      <c r="E57" s="96"/>
      <c r="F57" s="96"/>
      <c r="G57" s="109"/>
    </row>
    <row r="58" spans="1:7" ht="33" hidden="1">
      <c r="A58" s="92" t="s">
        <v>107</v>
      </c>
      <c r="B58" s="103" t="s">
        <v>108</v>
      </c>
      <c r="C58" s="94">
        <f t="shared" si="0"/>
        <v>608978.80000000005</v>
      </c>
      <c r="D58" s="96">
        <v>79709.2</v>
      </c>
      <c r="E58" s="96">
        <v>529269.6</v>
      </c>
      <c r="F58" s="96">
        <v>0</v>
      </c>
      <c r="G58" s="109"/>
    </row>
    <row r="59" spans="1:7" ht="16.5" hidden="1">
      <c r="A59" s="92"/>
      <c r="B59" s="95" t="s">
        <v>21</v>
      </c>
      <c r="C59" s="94">
        <f t="shared" si="0"/>
        <v>0</v>
      </c>
      <c r="D59" s="96"/>
      <c r="E59" s="96"/>
      <c r="F59" s="96"/>
      <c r="G59" s="109"/>
    </row>
    <row r="60" spans="1:7" ht="148.5" hidden="1">
      <c r="A60" s="92" t="s">
        <v>22</v>
      </c>
      <c r="B60" s="97" t="s">
        <v>109</v>
      </c>
      <c r="C60" s="94">
        <f t="shared" si="0"/>
        <v>223067.6</v>
      </c>
      <c r="D60" s="96"/>
      <c r="E60" s="96">
        <v>223067.6</v>
      </c>
      <c r="F60" s="96"/>
      <c r="G60" s="109"/>
    </row>
    <row r="61" spans="1:7" ht="66" hidden="1">
      <c r="A61" s="92" t="s">
        <v>32</v>
      </c>
      <c r="B61" s="97" t="s">
        <v>356</v>
      </c>
      <c r="C61" s="94">
        <f t="shared" si="0"/>
        <v>65986.2</v>
      </c>
      <c r="D61" s="96">
        <v>11535.6</v>
      </c>
      <c r="E61" s="96">
        <v>54450.6</v>
      </c>
      <c r="F61" s="96"/>
      <c r="G61" s="109"/>
    </row>
    <row r="62" spans="1:7" ht="82.5" hidden="1">
      <c r="A62" s="92" t="s">
        <v>32</v>
      </c>
      <c r="B62" s="97" t="s">
        <v>355</v>
      </c>
      <c r="C62" s="94">
        <f t="shared" si="0"/>
        <v>319925</v>
      </c>
      <c r="D62" s="96">
        <v>68173.600000000006</v>
      </c>
      <c r="E62" s="96">
        <v>251751.4</v>
      </c>
      <c r="F62" s="96"/>
      <c r="G62" s="109"/>
    </row>
    <row r="63" spans="1:7" ht="66" hidden="1">
      <c r="A63" s="92"/>
      <c r="B63" s="97" t="s">
        <v>112</v>
      </c>
      <c r="C63" s="94">
        <f t="shared" si="0"/>
        <v>0</v>
      </c>
      <c r="D63" s="96">
        <v>0</v>
      </c>
      <c r="E63" s="96"/>
      <c r="F63" s="96"/>
      <c r="G63" s="109"/>
    </row>
    <row r="64" spans="1:7" ht="16.5">
      <c r="A64" s="92" t="s">
        <v>114</v>
      </c>
      <c r="B64" s="95" t="s">
        <v>115</v>
      </c>
      <c r="C64" s="94">
        <f t="shared" si="0"/>
        <v>1.5189999999999999</v>
      </c>
      <c r="D64" s="96">
        <v>0.81699999999999995</v>
      </c>
      <c r="E64" s="96">
        <v>0.66300000000000003</v>
      </c>
      <c r="F64" s="96">
        <v>3.9E-2</v>
      </c>
      <c r="G64" s="109">
        <v>14.7</v>
      </c>
    </row>
    <row r="65" spans="1:7" ht="33" hidden="1">
      <c r="A65" s="92" t="s">
        <v>116</v>
      </c>
      <c r="B65" s="103" t="s">
        <v>117</v>
      </c>
      <c r="C65" s="94">
        <f t="shared" si="0"/>
        <v>1312099.8999999999</v>
      </c>
      <c r="D65" s="96">
        <v>705896</v>
      </c>
      <c r="E65" s="96">
        <v>567363.30000000005</v>
      </c>
      <c r="F65" s="96">
        <v>38840.6</v>
      </c>
      <c r="G65" s="109"/>
    </row>
    <row r="66" spans="1:7" ht="16.5" hidden="1">
      <c r="A66" s="92"/>
      <c r="B66" s="95" t="s">
        <v>21</v>
      </c>
      <c r="C66" s="94">
        <f t="shared" si="0"/>
        <v>0</v>
      </c>
      <c r="D66" s="96"/>
      <c r="E66" s="96"/>
      <c r="F66" s="96"/>
      <c r="G66" s="109"/>
    </row>
    <row r="67" spans="1:7" ht="66" hidden="1">
      <c r="A67" s="92" t="s">
        <v>32</v>
      </c>
      <c r="B67" s="97" t="s">
        <v>118</v>
      </c>
      <c r="C67" s="94">
        <f t="shared" si="0"/>
        <v>46409.3</v>
      </c>
      <c r="D67" s="96">
        <v>1392.3</v>
      </c>
      <c r="E67" s="96">
        <v>45017</v>
      </c>
      <c r="F67" s="96"/>
      <c r="G67" s="109"/>
    </row>
    <row r="68" spans="1:7" ht="82.5" hidden="1">
      <c r="A68" s="92" t="s">
        <v>32</v>
      </c>
      <c r="B68" s="97" t="s">
        <v>359</v>
      </c>
      <c r="C68" s="94">
        <f t="shared" ref="C68:C131" si="1">SUM(D68+E68+F68)</f>
        <v>99539.4</v>
      </c>
      <c r="D68" s="96">
        <v>2978.4</v>
      </c>
      <c r="E68" s="96">
        <v>96302.9</v>
      </c>
      <c r="F68" s="96">
        <v>258.10000000000002</v>
      </c>
      <c r="G68" s="109"/>
    </row>
    <row r="69" spans="1:7" ht="82.5" hidden="1">
      <c r="A69" s="92"/>
      <c r="B69" s="97" t="s">
        <v>122</v>
      </c>
      <c r="C69" s="94">
        <f t="shared" si="1"/>
        <v>8660</v>
      </c>
      <c r="D69" s="96">
        <v>8660</v>
      </c>
      <c r="E69" s="96"/>
      <c r="F69" s="96"/>
      <c r="G69" s="109"/>
    </row>
    <row r="70" spans="1:7" ht="99" hidden="1">
      <c r="A70" s="92" t="s">
        <v>32</v>
      </c>
      <c r="B70" s="97" t="s">
        <v>123</v>
      </c>
      <c r="C70" s="94">
        <f t="shared" si="1"/>
        <v>1082491.2</v>
      </c>
      <c r="D70" s="96">
        <v>655365.30000000005</v>
      </c>
      <c r="E70" s="96">
        <v>426043.4</v>
      </c>
      <c r="F70" s="96">
        <v>1082.5</v>
      </c>
      <c r="G70" s="109"/>
    </row>
    <row r="71" spans="1:7" ht="33" hidden="1">
      <c r="A71" s="92"/>
      <c r="B71" s="97" t="s">
        <v>338</v>
      </c>
      <c r="C71" s="94">
        <f t="shared" si="1"/>
        <v>0</v>
      </c>
      <c r="D71" s="96"/>
      <c r="E71" s="96"/>
      <c r="F71" s="96"/>
      <c r="G71" s="109"/>
    </row>
    <row r="72" spans="1:7" ht="49.5" hidden="1">
      <c r="A72" s="92"/>
      <c r="B72" s="97" t="s">
        <v>125</v>
      </c>
      <c r="C72" s="94">
        <f t="shared" si="1"/>
        <v>75000</v>
      </c>
      <c r="D72" s="96">
        <v>37500</v>
      </c>
      <c r="E72" s="96"/>
      <c r="F72" s="96">
        <v>37500</v>
      </c>
      <c r="G72" s="109"/>
    </row>
    <row r="73" spans="1:7" ht="33" hidden="1">
      <c r="A73" s="92" t="s">
        <v>127</v>
      </c>
      <c r="B73" s="103" t="s">
        <v>128</v>
      </c>
      <c r="C73" s="94">
        <f t="shared" si="1"/>
        <v>37934.6</v>
      </c>
      <c r="D73" s="96">
        <v>7443</v>
      </c>
      <c r="E73" s="96">
        <v>30491.599999999999</v>
      </c>
      <c r="F73" s="96">
        <v>0</v>
      </c>
      <c r="G73" s="109"/>
    </row>
    <row r="74" spans="1:7" ht="16.5" hidden="1">
      <c r="A74" s="92"/>
      <c r="B74" s="95" t="s">
        <v>21</v>
      </c>
      <c r="C74" s="94">
        <f t="shared" si="1"/>
        <v>0</v>
      </c>
      <c r="D74" s="96"/>
      <c r="E74" s="96"/>
      <c r="F74" s="96"/>
      <c r="G74" s="109"/>
    </row>
    <row r="75" spans="1:7" ht="82.5" hidden="1">
      <c r="A75" s="92" t="s">
        <v>32</v>
      </c>
      <c r="B75" s="97" t="s">
        <v>129</v>
      </c>
      <c r="C75" s="94">
        <f t="shared" si="1"/>
        <v>27001.7</v>
      </c>
      <c r="D75" s="96">
        <v>810.1</v>
      </c>
      <c r="E75" s="96">
        <v>26191.599999999999</v>
      </c>
      <c r="F75" s="96"/>
      <c r="G75" s="109"/>
    </row>
    <row r="76" spans="1:7" ht="82.5" hidden="1">
      <c r="A76" s="92" t="s">
        <v>32</v>
      </c>
      <c r="B76" s="97" t="s">
        <v>129</v>
      </c>
      <c r="C76" s="94">
        <f t="shared" si="1"/>
        <v>4433</v>
      </c>
      <c r="D76" s="96">
        <v>133</v>
      </c>
      <c r="E76" s="96">
        <v>4300</v>
      </c>
      <c r="F76" s="96"/>
      <c r="G76" s="109"/>
    </row>
    <row r="77" spans="1:7" ht="49.5" hidden="1">
      <c r="A77" s="92"/>
      <c r="B77" s="97" t="s">
        <v>133</v>
      </c>
      <c r="C77" s="94">
        <f t="shared" si="1"/>
        <v>6249.9</v>
      </c>
      <c r="D77" s="96">
        <v>6249.9</v>
      </c>
      <c r="E77" s="96"/>
      <c r="F77" s="96"/>
      <c r="G77" s="109"/>
    </row>
    <row r="78" spans="1:7" ht="66" hidden="1">
      <c r="A78" s="92"/>
      <c r="B78" s="97" t="s">
        <v>135</v>
      </c>
      <c r="C78" s="94">
        <f t="shared" si="1"/>
        <v>250</v>
      </c>
      <c r="D78" s="96">
        <v>250</v>
      </c>
      <c r="E78" s="96"/>
      <c r="F78" s="96"/>
      <c r="G78" s="109"/>
    </row>
    <row r="79" spans="1:7" ht="33" hidden="1">
      <c r="A79" s="92" t="s">
        <v>137</v>
      </c>
      <c r="B79" s="103" t="s">
        <v>138</v>
      </c>
      <c r="C79" s="94">
        <f t="shared" si="1"/>
        <v>94449.600000000006</v>
      </c>
      <c r="D79" s="96">
        <v>83475.7</v>
      </c>
      <c r="E79" s="96">
        <v>10960.7</v>
      </c>
      <c r="F79" s="96">
        <v>13.2</v>
      </c>
      <c r="G79" s="109"/>
    </row>
    <row r="80" spans="1:7" ht="16.5" hidden="1">
      <c r="A80" s="92"/>
      <c r="B80" s="95" t="s">
        <v>21</v>
      </c>
      <c r="C80" s="94">
        <f t="shared" si="1"/>
        <v>0</v>
      </c>
      <c r="D80" s="96"/>
      <c r="E80" s="96"/>
      <c r="F80" s="96"/>
      <c r="G80" s="109"/>
    </row>
    <row r="81" spans="1:7" ht="66" hidden="1">
      <c r="A81" s="92" t="s">
        <v>32</v>
      </c>
      <c r="B81" s="97" t="s">
        <v>139</v>
      </c>
      <c r="C81" s="94">
        <f t="shared" si="1"/>
        <v>13244.6</v>
      </c>
      <c r="D81" s="96">
        <v>2270.6999999999998</v>
      </c>
      <c r="E81" s="96">
        <v>10960.7</v>
      </c>
      <c r="F81" s="96">
        <v>13.2</v>
      </c>
      <c r="G81" s="109"/>
    </row>
    <row r="82" spans="1:7" ht="33" hidden="1">
      <c r="A82" s="92"/>
      <c r="B82" s="97" t="s">
        <v>141</v>
      </c>
      <c r="C82" s="94">
        <f t="shared" si="1"/>
        <v>30000</v>
      </c>
      <c r="D82" s="96">
        <v>30000</v>
      </c>
      <c r="E82" s="96"/>
      <c r="F82" s="96"/>
      <c r="G82" s="109"/>
    </row>
    <row r="83" spans="1:7" ht="82.5" hidden="1">
      <c r="A83" s="92"/>
      <c r="B83" s="97" t="s">
        <v>143</v>
      </c>
      <c r="C83" s="94">
        <f t="shared" si="1"/>
        <v>35464.5</v>
      </c>
      <c r="D83" s="96">
        <v>35464.5</v>
      </c>
      <c r="E83" s="96"/>
      <c r="F83" s="96"/>
      <c r="G83" s="109"/>
    </row>
    <row r="84" spans="1:7" ht="49.5" hidden="1">
      <c r="A84" s="92"/>
      <c r="B84" s="97" t="s">
        <v>145</v>
      </c>
      <c r="C84" s="94">
        <f t="shared" si="1"/>
        <v>10720</v>
      </c>
      <c r="D84" s="96">
        <v>10720</v>
      </c>
      <c r="E84" s="96"/>
      <c r="F84" s="96"/>
      <c r="G84" s="109"/>
    </row>
    <row r="85" spans="1:7" ht="66" hidden="1">
      <c r="A85" s="92"/>
      <c r="B85" s="97" t="s">
        <v>147</v>
      </c>
      <c r="C85" s="94">
        <f t="shared" si="1"/>
        <v>5020.5</v>
      </c>
      <c r="D85" s="96">
        <v>5020.5</v>
      </c>
      <c r="E85" s="96"/>
      <c r="F85" s="96"/>
      <c r="G85" s="109"/>
    </row>
    <row r="86" spans="1:7" ht="66" hidden="1">
      <c r="A86" s="92" t="s">
        <v>149</v>
      </c>
      <c r="B86" s="103" t="s">
        <v>150</v>
      </c>
      <c r="C86" s="94">
        <f t="shared" si="1"/>
        <v>73344.7</v>
      </c>
      <c r="D86" s="96">
        <v>19250.099999999999</v>
      </c>
      <c r="E86" s="96">
        <v>54094.6</v>
      </c>
      <c r="F86" s="96">
        <v>0</v>
      </c>
      <c r="G86" s="109"/>
    </row>
    <row r="87" spans="1:7" ht="16.5" hidden="1">
      <c r="A87" s="92"/>
      <c r="B87" s="95" t="s">
        <v>21</v>
      </c>
      <c r="C87" s="94">
        <f t="shared" si="1"/>
        <v>0</v>
      </c>
      <c r="D87" s="96"/>
      <c r="E87" s="96"/>
      <c r="F87" s="96"/>
      <c r="G87" s="109"/>
    </row>
    <row r="88" spans="1:7" ht="49.5" hidden="1">
      <c r="A88" s="92"/>
      <c r="B88" s="97" t="s">
        <v>151</v>
      </c>
      <c r="C88" s="94">
        <f t="shared" si="1"/>
        <v>0</v>
      </c>
      <c r="D88" s="96">
        <v>0</v>
      </c>
      <c r="E88" s="96">
        <v>0</v>
      </c>
      <c r="F88" s="96"/>
      <c r="G88" s="109"/>
    </row>
    <row r="89" spans="1:7" ht="82.5" hidden="1">
      <c r="A89" s="92" t="s">
        <v>32</v>
      </c>
      <c r="B89" s="97" t="s">
        <v>153</v>
      </c>
      <c r="C89" s="94">
        <f t="shared" si="1"/>
        <v>55767.6</v>
      </c>
      <c r="D89" s="96">
        <v>1673</v>
      </c>
      <c r="E89" s="96">
        <v>54094.6</v>
      </c>
      <c r="F89" s="96"/>
      <c r="G89" s="109"/>
    </row>
    <row r="90" spans="1:7" ht="99" hidden="1">
      <c r="A90" s="92"/>
      <c r="B90" s="97" t="s">
        <v>155</v>
      </c>
      <c r="C90" s="94">
        <f t="shared" si="1"/>
        <v>0</v>
      </c>
      <c r="D90" s="96">
        <v>0</v>
      </c>
      <c r="E90" s="96"/>
      <c r="F90" s="96"/>
      <c r="G90" s="109"/>
    </row>
    <row r="91" spans="1:7" ht="33" hidden="1">
      <c r="A91" s="92"/>
      <c r="B91" s="97" t="s">
        <v>157</v>
      </c>
      <c r="C91" s="94">
        <f t="shared" si="1"/>
        <v>0</v>
      </c>
      <c r="D91" s="96"/>
      <c r="E91" s="96"/>
      <c r="F91" s="96"/>
      <c r="G91" s="109"/>
    </row>
    <row r="92" spans="1:7" ht="99" hidden="1">
      <c r="A92" s="92"/>
      <c r="B92" s="97" t="s">
        <v>155</v>
      </c>
      <c r="C92" s="94">
        <f t="shared" si="1"/>
        <v>8907.1</v>
      </c>
      <c r="D92" s="96">
        <v>8907.1</v>
      </c>
      <c r="E92" s="96"/>
      <c r="F92" s="96"/>
      <c r="G92" s="109"/>
    </row>
    <row r="93" spans="1:7" ht="82.5" hidden="1">
      <c r="A93" s="92"/>
      <c r="B93" s="97" t="s">
        <v>160</v>
      </c>
      <c r="C93" s="94">
        <f t="shared" si="1"/>
        <v>3840</v>
      </c>
      <c r="D93" s="96">
        <v>3840</v>
      </c>
      <c r="E93" s="96"/>
      <c r="F93" s="96"/>
      <c r="G93" s="109"/>
    </row>
    <row r="94" spans="1:7" ht="115.5" hidden="1">
      <c r="A94" s="92"/>
      <c r="B94" s="97" t="s">
        <v>162</v>
      </c>
      <c r="C94" s="94">
        <f t="shared" si="1"/>
        <v>280</v>
      </c>
      <c r="D94" s="96">
        <v>280</v>
      </c>
      <c r="E94" s="96"/>
      <c r="F94" s="96"/>
      <c r="G94" s="109"/>
    </row>
    <row r="95" spans="1:7" ht="66" hidden="1">
      <c r="A95" s="92"/>
      <c r="B95" s="97" t="s">
        <v>164</v>
      </c>
      <c r="C95" s="94">
        <f t="shared" si="1"/>
        <v>4550</v>
      </c>
      <c r="D95" s="96">
        <v>4550</v>
      </c>
      <c r="E95" s="96"/>
      <c r="F95" s="96"/>
      <c r="G95" s="109"/>
    </row>
    <row r="96" spans="1:7" ht="99" hidden="1">
      <c r="A96" s="92"/>
      <c r="B96" s="97" t="s">
        <v>166</v>
      </c>
      <c r="C96" s="94">
        <f t="shared" si="1"/>
        <v>0</v>
      </c>
      <c r="D96" s="96"/>
      <c r="E96" s="96"/>
      <c r="F96" s="96"/>
      <c r="G96" s="109"/>
    </row>
    <row r="97" spans="1:7" ht="33" hidden="1">
      <c r="A97" s="92" t="s">
        <v>168</v>
      </c>
      <c r="B97" s="103" t="s">
        <v>169</v>
      </c>
      <c r="C97" s="94">
        <f t="shared" si="1"/>
        <v>1066</v>
      </c>
      <c r="D97" s="96">
        <v>1066</v>
      </c>
      <c r="E97" s="96">
        <v>0</v>
      </c>
      <c r="F97" s="96">
        <v>0</v>
      </c>
      <c r="G97" s="109"/>
    </row>
    <row r="98" spans="1:7" ht="49.5" hidden="1">
      <c r="A98" s="92"/>
      <c r="B98" s="97" t="s">
        <v>170</v>
      </c>
      <c r="C98" s="94">
        <f t="shared" si="1"/>
        <v>1066</v>
      </c>
      <c r="D98" s="96">
        <v>1066</v>
      </c>
      <c r="E98" s="96"/>
      <c r="F98" s="96"/>
      <c r="G98" s="109"/>
    </row>
    <row r="99" spans="1:7" ht="33" hidden="1">
      <c r="A99" s="92" t="s">
        <v>348</v>
      </c>
      <c r="B99" s="103" t="s">
        <v>349</v>
      </c>
      <c r="C99" s="94">
        <f t="shared" si="1"/>
        <v>239.2</v>
      </c>
      <c r="D99" s="96">
        <v>239.2</v>
      </c>
      <c r="E99" s="96">
        <v>0</v>
      </c>
      <c r="F99" s="96"/>
      <c r="G99" s="109"/>
    </row>
    <row r="100" spans="1:7" ht="82.5" hidden="1">
      <c r="A100" s="92"/>
      <c r="B100" s="97" t="s">
        <v>350</v>
      </c>
      <c r="C100" s="94">
        <f t="shared" si="1"/>
        <v>239.2</v>
      </c>
      <c r="D100" s="96">
        <v>239.2</v>
      </c>
      <c r="E100" s="96"/>
      <c r="F100" s="96"/>
      <c r="G100" s="109"/>
    </row>
    <row r="101" spans="1:7" ht="16.5">
      <c r="A101" s="92" t="s">
        <v>172</v>
      </c>
      <c r="B101" s="103" t="s">
        <v>173</v>
      </c>
      <c r="C101" s="94">
        <f t="shared" si="1"/>
        <v>0.109</v>
      </c>
      <c r="D101" s="96">
        <v>0.109</v>
      </c>
      <c r="E101" s="96">
        <v>0</v>
      </c>
      <c r="F101" s="96">
        <v>0</v>
      </c>
      <c r="G101" s="109">
        <v>1.1000000000000001</v>
      </c>
    </row>
    <row r="102" spans="1:7" ht="33" hidden="1">
      <c r="A102" s="92" t="s">
        <v>174</v>
      </c>
      <c r="B102" s="103" t="s">
        <v>175</v>
      </c>
      <c r="C102" s="94">
        <f t="shared" si="1"/>
        <v>5428.6</v>
      </c>
      <c r="D102" s="96">
        <v>5428.6</v>
      </c>
      <c r="E102" s="96">
        <v>0</v>
      </c>
      <c r="F102" s="96">
        <v>0</v>
      </c>
      <c r="G102" s="109"/>
    </row>
    <row r="103" spans="1:7" ht="33" hidden="1">
      <c r="A103" s="92"/>
      <c r="B103" s="97" t="s">
        <v>176</v>
      </c>
      <c r="C103" s="94">
        <f t="shared" si="1"/>
        <v>5000</v>
      </c>
      <c r="D103" s="96">
        <v>5000</v>
      </c>
      <c r="E103" s="96"/>
      <c r="F103" s="96"/>
      <c r="G103" s="109"/>
    </row>
    <row r="104" spans="1:7" ht="66" hidden="1">
      <c r="A104" s="92"/>
      <c r="B104" s="97" t="s">
        <v>326</v>
      </c>
      <c r="C104" s="94">
        <f t="shared" si="1"/>
        <v>244.9</v>
      </c>
      <c r="D104" s="96">
        <v>244.9</v>
      </c>
      <c r="E104" s="96"/>
      <c r="F104" s="96"/>
      <c r="G104" s="109"/>
    </row>
    <row r="105" spans="1:7" ht="99" hidden="1">
      <c r="A105" s="92"/>
      <c r="B105" s="97" t="s">
        <v>328</v>
      </c>
      <c r="C105" s="94">
        <f t="shared" si="1"/>
        <v>183.7</v>
      </c>
      <c r="D105" s="96">
        <v>183.7</v>
      </c>
      <c r="E105" s="96"/>
      <c r="F105" s="96"/>
      <c r="G105" s="109"/>
    </row>
    <row r="106" spans="1:7" ht="16.5" hidden="1">
      <c r="A106" s="92" t="s">
        <v>178</v>
      </c>
      <c r="B106" s="103" t="s">
        <v>179</v>
      </c>
      <c r="C106" s="94">
        <f t="shared" si="1"/>
        <v>60000</v>
      </c>
      <c r="D106" s="96">
        <v>60000</v>
      </c>
      <c r="E106" s="96">
        <v>0</v>
      </c>
      <c r="F106" s="96">
        <v>0</v>
      </c>
      <c r="G106" s="109"/>
    </row>
    <row r="107" spans="1:7" ht="16.5" hidden="1">
      <c r="A107" s="92"/>
      <c r="B107" s="103" t="s">
        <v>21</v>
      </c>
      <c r="C107" s="94">
        <f t="shared" si="1"/>
        <v>0</v>
      </c>
      <c r="D107" s="96"/>
      <c r="E107" s="96"/>
      <c r="F107" s="96"/>
      <c r="G107" s="109"/>
    </row>
    <row r="108" spans="1:7" ht="49.5" hidden="1">
      <c r="A108" s="92"/>
      <c r="B108" s="97" t="s">
        <v>180</v>
      </c>
      <c r="C108" s="94">
        <f t="shared" si="1"/>
        <v>60000</v>
      </c>
      <c r="D108" s="96">
        <v>60000</v>
      </c>
      <c r="E108" s="96"/>
      <c r="F108" s="96"/>
      <c r="G108" s="109"/>
    </row>
    <row r="109" spans="1:7" ht="33" hidden="1">
      <c r="A109" s="92" t="s">
        <v>183</v>
      </c>
      <c r="B109" s="103" t="s">
        <v>184</v>
      </c>
      <c r="C109" s="94">
        <f t="shared" si="1"/>
        <v>1300</v>
      </c>
      <c r="D109" s="96">
        <v>1300</v>
      </c>
      <c r="E109" s="96">
        <v>0</v>
      </c>
      <c r="F109" s="96">
        <v>0</v>
      </c>
      <c r="G109" s="109"/>
    </row>
    <row r="110" spans="1:7" ht="16.5" hidden="1">
      <c r="A110" s="92"/>
      <c r="B110" s="97" t="s">
        <v>21</v>
      </c>
      <c r="C110" s="94">
        <f t="shared" si="1"/>
        <v>0</v>
      </c>
      <c r="D110" s="96"/>
      <c r="E110" s="96"/>
      <c r="F110" s="96"/>
      <c r="G110" s="109"/>
    </row>
    <row r="111" spans="1:7" ht="66" hidden="1">
      <c r="A111" s="92"/>
      <c r="B111" s="97" t="s">
        <v>185</v>
      </c>
      <c r="C111" s="94">
        <f t="shared" si="1"/>
        <v>1300</v>
      </c>
      <c r="D111" s="96">
        <v>1300</v>
      </c>
      <c r="E111" s="96"/>
      <c r="F111" s="96"/>
      <c r="G111" s="109"/>
    </row>
    <row r="112" spans="1:7" ht="33" hidden="1">
      <c r="A112" s="92" t="s">
        <v>188</v>
      </c>
      <c r="B112" s="103" t="s">
        <v>189</v>
      </c>
      <c r="C112" s="94">
        <f t="shared" si="1"/>
        <v>24543.599999999999</v>
      </c>
      <c r="D112" s="96">
        <v>24543.599999999999</v>
      </c>
      <c r="E112" s="96">
        <v>0</v>
      </c>
      <c r="F112" s="96">
        <v>0</v>
      </c>
      <c r="G112" s="109"/>
    </row>
    <row r="113" spans="1:7" ht="16.5" hidden="1">
      <c r="A113" s="92"/>
      <c r="B113" s="103" t="s">
        <v>21</v>
      </c>
      <c r="C113" s="94">
        <f t="shared" si="1"/>
        <v>0</v>
      </c>
      <c r="D113" s="96"/>
      <c r="E113" s="96"/>
      <c r="F113" s="96"/>
      <c r="G113" s="109"/>
    </row>
    <row r="114" spans="1:7" ht="33" hidden="1">
      <c r="A114" s="92"/>
      <c r="B114" s="103" t="s">
        <v>337</v>
      </c>
      <c r="C114" s="94">
        <f t="shared" si="1"/>
        <v>3440</v>
      </c>
      <c r="D114" s="96">
        <v>3440</v>
      </c>
      <c r="E114" s="96"/>
      <c r="F114" s="96"/>
      <c r="G114" s="109"/>
    </row>
    <row r="115" spans="1:7" ht="66" hidden="1">
      <c r="A115" s="92"/>
      <c r="B115" s="97" t="s">
        <v>190</v>
      </c>
      <c r="C115" s="94">
        <f t="shared" si="1"/>
        <v>0</v>
      </c>
      <c r="D115" s="96">
        <v>0</v>
      </c>
      <c r="E115" s="96"/>
      <c r="F115" s="96"/>
      <c r="G115" s="109"/>
    </row>
    <row r="116" spans="1:7" ht="66" hidden="1">
      <c r="A116" s="92"/>
      <c r="B116" s="97" t="s">
        <v>192</v>
      </c>
      <c r="C116" s="94">
        <f t="shared" si="1"/>
        <v>1600</v>
      </c>
      <c r="D116" s="96">
        <v>1600</v>
      </c>
      <c r="E116" s="96"/>
      <c r="F116" s="96"/>
      <c r="G116" s="109"/>
    </row>
    <row r="117" spans="1:7" ht="99" hidden="1">
      <c r="A117" s="92"/>
      <c r="B117" s="97" t="s">
        <v>194</v>
      </c>
      <c r="C117" s="94">
        <f t="shared" si="1"/>
        <v>9700</v>
      </c>
      <c r="D117" s="96">
        <v>9700</v>
      </c>
      <c r="E117" s="96"/>
      <c r="F117" s="96"/>
      <c r="G117" s="109"/>
    </row>
    <row r="118" spans="1:7" ht="165" hidden="1">
      <c r="A118" s="92"/>
      <c r="B118" s="97" t="s">
        <v>196</v>
      </c>
      <c r="C118" s="94">
        <f t="shared" si="1"/>
        <v>5305.6</v>
      </c>
      <c r="D118" s="96">
        <v>5305.6</v>
      </c>
      <c r="E118" s="96"/>
      <c r="F118" s="96"/>
      <c r="G118" s="109"/>
    </row>
    <row r="119" spans="1:7" ht="49.5" hidden="1">
      <c r="A119" s="92"/>
      <c r="B119" s="97" t="s">
        <v>198</v>
      </c>
      <c r="C119" s="94">
        <f t="shared" si="1"/>
        <v>0</v>
      </c>
      <c r="D119" s="96">
        <v>0</v>
      </c>
      <c r="E119" s="96"/>
      <c r="F119" s="96"/>
      <c r="G119" s="109"/>
    </row>
    <row r="120" spans="1:7" ht="82.5" hidden="1">
      <c r="A120" s="92"/>
      <c r="B120" s="97" t="s">
        <v>347</v>
      </c>
      <c r="C120" s="94">
        <f t="shared" si="1"/>
        <v>602</v>
      </c>
      <c r="D120" s="96">
        <v>602</v>
      </c>
      <c r="E120" s="96"/>
      <c r="F120" s="96"/>
      <c r="G120" s="109"/>
    </row>
    <row r="121" spans="1:7" ht="181.5" hidden="1">
      <c r="A121" s="92"/>
      <c r="B121" s="97" t="s">
        <v>200</v>
      </c>
      <c r="C121" s="94">
        <f t="shared" si="1"/>
        <v>3896.1</v>
      </c>
      <c r="D121" s="96">
        <v>3896.1</v>
      </c>
      <c r="E121" s="96"/>
      <c r="F121" s="96"/>
      <c r="G121" s="109"/>
    </row>
    <row r="122" spans="1:7" ht="33" hidden="1">
      <c r="A122" s="92" t="s">
        <v>202</v>
      </c>
      <c r="B122" s="103" t="s">
        <v>203</v>
      </c>
      <c r="C122" s="94">
        <f t="shared" si="1"/>
        <v>18003.900000000001</v>
      </c>
      <c r="D122" s="96">
        <v>18003.900000000001</v>
      </c>
      <c r="E122" s="96">
        <v>0</v>
      </c>
      <c r="F122" s="96">
        <v>0</v>
      </c>
      <c r="G122" s="109"/>
    </row>
    <row r="123" spans="1:7" ht="16.5" hidden="1">
      <c r="A123" s="92"/>
      <c r="B123" s="103" t="s">
        <v>21</v>
      </c>
      <c r="C123" s="94">
        <f t="shared" si="1"/>
        <v>0</v>
      </c>
      <c r="D123" s="96"/>
      <c r="E123" s="96"/>
      <c r="F123" s="96"/>
      <c r="G123" s="109"/>
    </row>
    <row r="124" spans="1:7" ht="66" hidden="1">
      <c r="A124" s="92"/>
      <c r="B124" s="97" t="s">
        <v>204</v>
      </c>
      <c r="C124" s="94">
        <f t="shared" si="1"/>
        <v>18003.900000000001</v>
      </c>
      <c r="D124" s="96">
        <v>18003.900000000001</v>
      </c>
      <c r="E124" s="96"/>
      <c r="F124" s="96"/>
      <c r="G124" s="109"/>
    </row>
    <row r="125" spans="1:7" ht="33">
      <c r="A125" s="92" t="s">
        <v>206</v>
      </c>
      <c r="B125" s="103" t="s">
        <v>207</v>
      </c>
      <c r="C125" s="94">
        <f t="shared" si="1"/>
        <v>1.2370000000000001</v>
      </c>
      <c r="D125" s="96">
        <v>2.9000000000000001E-2</v>
      </c>
      <c r="E125" s="96">
        <v>0.96099999999999997</v>
      </c>
      <c r="F125" s="96">
        <v>0.247</v>
      </c>
      <c r="G125" s="109">
        <v>12</v>
      </c>
    </row>
    <row r="126" spans="1:7" ht="33" hidden="1">
      <c r="A126" s="92" t="s">
        <v>208</v>
      </c>
      <c r="B126" s="103" t="s">
        <v>209</v>
      </c>
      <c r="C126" s="94">
        <f t="shared" si="1"/>
        <v>468472.7</v>
      </c>
      <c r="D126" s="96">
        <v>12764</v>
      </c>
      <c r="E126" s="96">
        <v>452704</v>
      </c>
      <c r="F126" s="96">
        <v>3004.7</v>
      </c>
      <c r="G126" s="109"/>
    </row>
    <row r="127" spans="1:7" ht="16.5" hidden="1">
      <c r="A127" s="92"/>
      <c r="B127" s="95" t="s">
        <v>21</v>
      </c>
      <c r="C127" s="94">
        <f t="shared" si="1"/>
        <v>0</v>
      </c>
      <c r="D127" s="96"/>
      <c r="E127" s="96"/>
      <c r="F127" s="96"/>
      <c r="G127" s="109"/>
    </row>
    <row r="128" spans="1:7" ht="33" hidden="1">
      <c r="A128" s="92" t="s">
        <v>32</v>
      </c>
      <c r="B128" s="97" t="s">
        <v>210</v>
      </c>
      <c r="C128" s="94">
        <f t="shared" si="1"/>
        <v>428472.7</v>
      </c>
      <c r="D128" s="96">
        <v>12764</v>
      </c>
      <c r="E128" s="96">
        <v>412704</v>
      </c>
      <c r="F128" s="96">
        <v>3004.7</v>
      </c>
      <c r="G128" s="109"/>
    </row>
    <row r="129" spans="1:7" ht="82.5" hidden="1">
      <c r="A129" s="92" t="s">
        <v>22</v>
      </c>
      <c r="B129" s="97" t="s">
        <v>212</v>
      </c>
      <c r="C129" s="94">
        <f t="shared" si="1"/>
        <v>40000</v>
      </c>
      <c r="D129" s="96"/>
      <c r="E129" s="102">
        <v>40000</v>
      </c>
      <c r="F129" s="102"/>
      <c r="G129" s="109"/>
    </row>
    <row r="130" spans="1:7" ht="49.5" hidden="1">
      <c r="A130" s="92" t="s">
        <v>214</v>
      </c>
      <c r="B130" s="103" t="s">
        <v>215</v>
      </c>
      <c r="C130" s="94">
        <f t="shared" si="1"/>
        <v>767713.6</v>
      </c>
      <c r="D130" s="96">
        <v>15703.7</v>
      </c>
      <c r="E130" s="96">
        <v>507753.2</v>
      </c>
      <c r="F130" s="96">
        <v>244256.7</v>
      </c>
      <c r="G130" s="109"/>
    </row>
    <row r="131" spans="1:7" ht="66" hidden="1">
      <c r="A131" s="92"/>
      <c r="B131" s="97" t="s">
        <v>216</v>
      </c>
      <c r="C131" s="94">
        <f t="shared" si="1"/>
        <v>0</v>
      </c>
      <c r="D131" s="96"/>
      <c r="E131" s="96">
        <v>0</v>
      </c>
      <c r="F131" s="96"/>
      <c r="G131" s="109"/>
    </row>
    <row r="132" spans="1:7" ht="33" hidden="1">
      <c r="A132" s="92"/>
      <c r="B132" s="97" t="s">
        <v>218</v>
      </c>
      <c r="C132" s="94">
        <f t="shared" ref="C132:C188" si="2">SUM(D132+E132+F132)</f>
        <v>0</v>
      </c>
      <c r="D132" s="96">
        <v>0</v>
      </c>
      <c r="E132" s="96"/>
      <c r="F132" s="96"/>
      <c r="G132" s="109"/>
    </row>
    <row r="133" spans="1:7" ht="82.5" hidden="1">
      <c r="A133" s="92"/>
      <c r="B133" s="97" t="s">
        <v>220</v>
      </c>
      <c r="C133" s="94">
        <f t="shared" si="2"/>
        <v>0</v>
      </c>
      <c r="D133" s="96"/>
      <c r="E133" s="96">
        <v>0</v>
      </c>
      <c r="F133" s="96"/>
      <c r="G133" s="109"/>
    </row>
    <row r="134" spans="1:7" ht="33" hidden="1">
      <c r="A134" s="92"/>
      <c r="B134" s="97" t="s">
        <v>222</v>
      </c>
      <c r="C134" s="94">
        <f t="shared" si="2"/>
        <v>0</v>
      </c>
      <c r="D134" s="96">
        <v>0</v>
      </c>
      <c r="E134" s="96"/>
      <c r="F134" s="96"/>
      <c r="G134" s="109"/>
    </row>
    <row r="135" spans="1:7" ht="82.5" hidden="1">
      <c r="A135" s="92" t="s">
        <v>331</v>
      </c>
      <c r="B135" s="97" t="s">
        <v>332</v>
      </c>
      <c r="C135" s="94">
        <f t="shared" si="2"/>
        <v>752009.9</v>
      </c>
      <c r="D135" s="96"/>
      <c r="E135" s="96">
        <v>507753.2</v>
      </c>
      <c r="F135" s="150">
        <v>244256.7</v>
      </c>
      <c r="G135" s="109"/>
    </row>
    <row r="136" spans="1:7" ht="49.5" hidden="1">
      <c r="A136" s="92"/>
      <c r="B136" s="97" t="s">
        <v>334</v>
      </c>
      <c r="C136" s="94">
        <f t="shared" si="2"/>
        <v>15703.7</v>
      </c>
      <c r="D136" s="96">
        <v>15703.7</v>
      </c>
      <c r="E136" s="96"/>
      <c r="F136" s="151"/>
      <c r="G136" s="109"/>
    </row>
    <row r="137" spans="1:7" ht="16.5">
      <c r="A137" s="92" t="s">
        <v>224</v>
      </c>
      <c r="B137" s="95" t="s">
        <v>225</v>
      </c>
      <c r="C137" s="94">
        <f t="shared" si="2"/>
        <v>0.17899999999999999</v>
      </c>
      <c r="D137" s="96">
        <v>3.7999999999999999E-2</v>
      </c>
      <c r="E137" s="96">
        <v>0.125</v>
      </c>
      <c r="F137" s="96">
        <v>1.6E-2</v>
      </c>
      <c r="G137" s="109">
        <v>1.7</v>
      </c>
    </row>
    <row r="138" spans="1:7" ht="33" hidden="1">
      <c r="A138" s="92" t="s">
        <v>226</v>
      </c>
      <c r="B138" s="103" t="s">
        <v>227</v>
      </c>
      <c r="C138" s="94">
        <f t="shared" si="2"/>
        <v>97207.3</v>
      </c>
      <c r="D138" s="96">
        <v>137</v>
      </c>
      <c r="E138" s="96">
        <v>97070.3</v>
      </c>
      <c r="F138" s="96">
        <v>0</v>
      </c>
      <c r="G138" s="109"/>
    </row>
    <row r="139" spans="1:7" ht="16.5" hidden="1">
      <c r="A139" s="92"/>
      <c r="B139" s="95" t="s">
        <v>21</v>
      </c>
      <c r="C139" s="94">
        <f t="shared" si="2"/>
        <v>0</v>
      </c>
      <c r="D139" s="96"/>
      <c r="E139" s="96"/>
      <c r="F139" s="96"/>
      <c r="G139" s="109"/>
    </row>
    <row r="140" spans="1:7" ht="16.5" hidden="1">
      <c r="A140" s="92" t="s">
        <v>64</v>
      </c>
      <c r="B140" s="104" t="s">
        <v>228</v>
      </c>
      <c r="C140" s="94">
        <f t="shared" si="2"/>
        <v>4566.2</v>
      </c>
      <c r="D140" s="96">
        <v>137</v>
      </c>
      <c r="E140" s="96">
        <v>4429.2</v>
      </c>
      <c r="F140" s="96"/>
      <c r="G140" s="109"/>
    </row>
    <row r="141" spans="1:7" ht="99" hidden="1">
      <c r="A141" s="92" t="s">
        <v>64</v>
      </c>
      <c r="B141" s="97" t="s">
        <v>231</v>
      </c>
      <c r="C141" s="94">
        <f t="shared" si="2"/>
        <v>11182.2</v>
      </c>
      <c r="D141" s="96">
        <v>0</v>
      </c>
      <c r="E141" s="96">
        <v>11182.2</v>
      </c>
      <c r="F141" s="96"/>
      <c r="G141" s="109"/>
    </row>
    <row r="142" spans="1:7" ht="99" hidden="1">
      <c r="A142" s="92" t="s">
        <v>64</v>
      </c>
      <c r="B142" s="97" t="s">
        <v>233</v>
      </c>
      <c r="C142" s="94">
        <f t="shared" si="2"/>
        <v>81458.899999999994</v>
      </c>
      <c r="D142" s="96">
        <v>0</v>
      </c>
      <c r="E142" s="96">
        <v>81458.899999999994</v>
      </c>
      <c r="F142" s="96"/>
      <c r="G142" s="109"/>
    </row>
    <row r="143" spans="1:7" ht="16.5" hidden="1">
      <c r="A143" s="92" t="s">
        <v>235</v>
      </c>
      <c r="B143" s="103" t="s">
        <v>236</v>
      </c>
      <c r="C143" s="94">
        <f t="shared" si="2"/>
        <v>62138.3</v>
      </c>
      <c r="D143" s="96">
        <v>18265</v>
      </c>
      <c r="E143" s="96">
        <v>28338.7</v>
      </c>
      <c r="F143" s="96">
        <v>15534.6</v>
      </c>
      <c r="G143" s="109"/>
    </row>
    <row r="144" spans="1:7" ht="16.5" hidden="1">
      <c r="A144" s="92"/>
      <c r="B144" s="95" t="s">
        <v>21</v>
      </c>
      <c r="C144" s="94">
        <f t="shared" si="2"/>
        <v>0</v>
      </c>
      <c r="D144" s="96"/>
      <c r="E144" s="96"/>
      <c r="F144" s="96"/>
      <c r="G144" s="109"/>
    </row>
    <row r="145" spans="1:7" ht="49.5" hidden="1">
      <c r="A145" s="92" t="s">
        <v>32</v>
      </c>
      <c r="B145" s="97" t="s">
        <v>237</v>
      </c>
      <c r="C145" s="94">
        <f t="shared" si="2"/>
        <v>62138.3</v>
      </c>
      <c r="D145" s="96">
        <v>18265</v>
      </c>
      <c r="E145" s="96">
        <v>28338.7</v>
      </c>
      <c r="F145" s="96">
        <v>15534.6</v>
      </c>
      <c r="G145" s="109"/>
    </row>
    <row r="146" spans="1:7" ht="49.5" hidden="1">
      <c r="A146" s="92" t="s">
        <v>240</v>
      </c>
      <c r="B146" s="103" t="s">
        <v>241</v>
      </c>
      <c r="C146" s="94">
        <f t="shared" si="2"/>
        <v>10000</v>
      </c>
      <c r="D146" s="96">
        <v>10000</v>
      </c>
      <c r="E146" s="96">
        <v>0</v>
      </c>
      <c r="F146" s="96">
        <v>0</v>
      </c>
      <c r="G146" s="109"/>
    </row>
    <row r="147" spans="1:7" ht="16.5" hidden="1">
      <c r="A147" s="92"/>
      <c r="B147" s="95" t="s">
        <v>21</v>
      </c>
      <c r="C147" s="94">
        <f t="shared" si="2"/>
        <v>0</v>
      </c>
      <c r="D147" s="96"/>
      <c r="E147" s="96"/>
      <c r="F147" s="96"/>
      <c r="G147" s="109"/>
    </row>
    <row r="148" spans="1:7" ht="99" hidden="1">
      <c r="A148" s="92"/>
      <c r="B148" s="97" t="s">
        <v>242</v>
      </c>
      <c r="C148" s="94">
        <f t="shared" si="2"/>
        <v>10000</v>
      </c>
      <c r="D148" s="96">
        <v>10000</v>
      </c>
      <c r="E148" s="96"/>
      <c r="F148" s="96"/>
      <c r="G148" s="109"/>
    </row>
    <row r="149" spans="1:7" ht="33" hidden="1">
      <c r="A149" s="92" t="s">
        <v>245</v>
      </c>
      <c r="B149" s="103" t="s">
        <v>246</v>
      </c>
      <c r="C149" s="94">
        <f t="shared" si="2"/>
        <v>9750</v>
      </c>
      <c r="D149" s="96">
        <v>9750</v>
      </c>
      <c r="E149" s="96">
        <v>0</v>
      </c>
      <c r="F149" s="96">
        <v>0</v>
      </c>
      <c r="G149" s="109"/>
    </row>
    <row r="150" spans="1:7" ht="16.5" hidden="1">
      <c r="A150" s="92"/>
      <c r="B150" s="95" t="s">
        <v>21</v>
      </c>
      <c r="C150" s="94">
        <f t="shared" si="2"/>
        <v>0</v>
      </c>
      <c r="D150" s="96"/>
      <c r="E150" s="96"/>
      <c r="F150" s="96"/>
      <c r="G150" s="109"/>
    </row>
    <row r="151" spans="1:7" ht="33" hidden="1">
      <c r="A151" s="92"/>
      <c r="B151" s="97" t="s">
        <v>247</v>
      </c>
      <c r="C151" s="94">
        <f t="shared" si="2"/>
        <v>9750</v>
      </c>
      <c r="D151" s="96">
        <v>9750</v>
      </c>
      <c r="E151" s="96"/>
      <c r="F151" s="96"/>
      <c r="G151" s="109"/>
    </row>
    <row r="152" spans="1:7" ht="33">
      <c r="A152" s="92" t="s">
        <v>249</v>
      </c>
      <c r="B152" s="103" t="s">
        <v>250</v>
      </c>
      <c r="C152" s="94">
        <f t="shared" si="2"/>
        <v>2.613</v>
      </c>
      <c r="D152" s="96">
        <v>0.52300000000000002</v>
      </c>
      <c r="E152" s="96">
        <v>1.821</v>
      </c>
      <c r="F152" s="96">
        <v>0.26900000000000002</v>
      </c>
      <c r="G152" s="109">
        <v>25.4</v>
      </c>
    </row>
    <row r="153" spans="1:7" ht="16.5" hidden="1">
      <c r="A153" s="92" t="s">
        <v>251</v>
      </c>
      <c r="B153" s="103" t="s">
        <v>252</v>
      </c>
      <c r="C153" s="94">
        <f t="shared" si="2"/>
        <v>2613147.2000000002</v>
      </c>
      <c r="D153" s="96">
        <v>523000</v>
      </c>
      <c r="E153" s="96">
        <v>1821268.7</v>
      </c>
      <c r="F153" s="96">
        <v>268878.5</v>
      </c>
      <c r="G153" s="109"/>
    </row>
    <row r="154" spans="1:7" ht="16.5" hidden="1">
      <c r="A154" s="92"/>
      <c r="B154" s="95" t="s">
        <v>21</v>
      </c>
      <c r="C154" s="94">
        <f t="shared" si="2"/>
        <v>0</v>
      </c>
      <c r="D154" s="96"/>
      <c r="E154" s="96"/>
      <c r="F154" s="96"/>
      <c r="G154" s="109"/>
    </row>
    <row r="155" spans="1:7" ht="66" hidden="1">
      <c r="A155" s="92" t="s">
        <v>22</v>
      </c>
      <c r="B155" s="97" t="s">
        <v>253</v>
      </c>
      <c r="C155" s="94">
        <f t="shared" si="2"/>
        <v>2613147.2000000002</v>
      </c>
      <c r="D155" s="96">
        <v>523000</v>
      </c>
      <c r="E155" s="96">
        <v>1821268.7</v>
      </c>
      <c r="F155" s="96">
        <v>268878.5</v>
      </c>
      <c r="G155" s="109"/>
    </row>
    <row r="156" spans="1:7" ht="16.5">
      <c r="A156" s="92" t="s">
        <v>256</v>
      </c>
      <c r="B156" s="95" t="s">
        <v>257</v>
      </c>
      <c r="C156" s="94">
        <f t="shared" si="2"/>
        <v>0.14899999999999999</v>
      </c>
      <c r="D156" s="96">
        <v>4.5999999999999999E-2</v>
      </c>
      <c r="E156" s="96">
        <v>8.6999999999999994E-2</v>
      </c>
      <c r="F156" s="96">
        <v>1.6E-2</v>
      </c>
      <c r="G156" s="109">
        <v>1.4</v>
      </c>
    </row>
    <row r="157" spans="1:7" ht="33" hidden="1">
      <c r="A157" s="92" t="s">
        <v>258</v>
      </c>
      <c r="B157" s="103" t="s">
        <v>259</v>
      </c>
      <c r="C157" s="94">
        <f t="shared" si="2"/>
        <v>101344</v>
      </c>
      <c r="D157" s="96">
        <v>7774.3</v>
      </c>
      <c r="E157" s="96">
        <v>77956.899999999994</v>
      </c>
      <c r="F157" s="96">
        <v>15612.8</v>
      </c>
      <c r="G157" s="109"/>
    </row>
    <row r="158" spans="1:7" ht="16.5" hidden="1">
      <c r="A158" s="92"/>
      <c r="B158" s="95" t="s">
        <v>21</v>
      </c>
      <c r="C158" s="94">
        <f t="shared" si="2"/>
        <v>0</v>
      </c>
      <c r="D158" s="96"/>
      <c r="E158" s="96"/>
      <c r="F158" s="96"/>
      <c r="G158" s="109"/>
    </row>
    <row r="159" spans="1:7" ht="49.5" hidden="1">
      <c r="A159" s="92" t="s">
        <v>32</v>
      </c>
      <c r="B159" s="97" t="s">
        <v>260</v>
      </c>
      <c r="C159" s="94">
        <f t="shared" si="2"/>
        <v>59944.3</v>
      </c>
      <c r="D159" s="96">
        <v>7774.3</v>
      </c>
      <c r="E159" s="96">
        <v>37956.9</v>
      </c>
      <c r="F159" s="96">
        <v>14213.1</v>
      </c>
      <c r="G159" s="109"/>
    </row>
    <row r="160" spans="1:7" ht="66" hidden="1">
      <c r="A160" s="92" t="s">
        <v>22</v>
      </c>
      <c r="B160" s="97" t="s">
        <v>340</v>
      </c>
      <c r="C160" s="94">
        <f t="shared" si="2"/>
        <v>41399.699999999997</v>
      </c>
      <c r="D160" s="96"/>
      <c r="E160" s="96">
        <v>40000</v>
      </c>
      <c r="F160" s="96">
        <v>1399.7</v>
      </c>
      <c r="G160" s="109"/>
    </row>
    <row r="161" spans="1:7" ht="16.5" hidden="1">
      <c r="A161" s="92" t="s">
        <v>264</v>
      </c>
      <c r="B161" s="103" t="s">
        <v>265</v>
      </c>
      <c r="C161" s="94">
        <f t="shared" si="2"/>
        <v>8545</v>
      </c>
      <c r="D161" s="96">
        <v>0</v>
      </c>
      <c r="E161" s="96">
        <v>8540</v>
      </c>
      <c r="F161" s="96">
        <v>5</v>
      </c>
      <c r="G161" s="109"/>
    </row>
    <row r="162" spans="1:7" ht="16.5" hidden="1">
      <c r="A162" s="92"/>
      <c r="B162" s="103" t="s">
        <v>21</v>
      </c>
      <c r="C162" s="94">
        <f t="shared" si="2"/>
        <v>0</v>
      </c>
      <c r="D162" s="96"/>
      <c r="E162" s="96"/>
      <c r="F162" s="96"/>
      <c r="G162" s="109"/>
    </row>
    <row r="163" spans="1:7" ht="16.5" hidden="1">
      <c r="A163" s="92" t="s">
        <v>22</v>
      </c>
      <c r="B163" s="97" t="s">
        <v>266</v>
      </c>
      <c r="C163" s="94">
        <f t="shared" si="2"/>
        <v>8545</v>
      </c>
      <c r="D163" s="96"/>
      <c r="E163" s="96">
        <v>8540</v>
      </c>
      <c r="F163" s="96">
        <v>5</v>
      </c>
      <c r="G163" s="109"/>
    </row>
    <row r="164" spans="1:7" ht="16.5" hidden="1">
      <c r="A164" s="92" t="s">
        <v>268</v>
      </c>
      <c r="B164" s="103" t="s">
        <v>269</v>
      </c>
      <c r="C164" s="94">
        <f t="shared" si="2"/>
        <v>37977.699999999997</v>
      </c>
      <c r="D164" s="96">
        <v>37977.699999999997</v>
      </c>
      <c r="E164" s="96">
        <v>0</v>
      </c>
      <c r="F164" s="96">
        <v>0</v>
      </c>
      <c r="G164" s="109"/>
    </row>
    <row r="165" spans="1:7" ht="16.5" hidden="1">
      <c r="A165" s="92"/>
      <c r="B165" s="97" t="s">
        <v>21</v>
      </c>
      <c r="C165" s="94">
        <f t="shared" si="2"/>
        <v>0</v>
      </c>
      <c r="D165" s="96"/>
      <c r="E165" s="96"/>
      <c r="F165" s="96"/>
      <c r="G165" s="109"/>
    </row>
    <row r="166" spans="1:7" ht="33" hidden="1">
      <c r="A166" s="92"/>
      <c r="B166" s="97" t="s">
        <v>270</v>
      </c>
      <c r="C166" s="94">
        <f t="shared" si="2"/>
        <v>11658.9</v>
      </c>
      <c r="D166" s="96">
        <v>11658.9</v>
      </c>
      <c r="E166" s="96"/>
      <c r="F166" s="96"/>
      <c r="G166" s="109"/>
    </row>
    <row r="167" spans="1:7" ht="66" hidden="1">
      <c r="A167" s="92"/>
      <c r="B167" s="97" t="s">
        <v>272</v>
      </c>
      <c r="C167" s="94">
        <f t="shared" si="2"/>
        <v>26318.799999999999</v>
      </c>
      <c r="D167" s="96">
        <v>26318.799999999999</v>
      </c>
      <c r="E167" s="96"/>
      <c r="F167" s="96"/>
      <c r="G167" s="109"/>
    </row>
    <row r="168" spans="1:7" ht="66">
      <c r="A168" s="92" t="s">
        <v>274</v>
      </c>
      <c r="B168" s="103" t="s">
        <v>275</v>
      </c>
      <c r="C168" s="94">
        <f t="shared" si="2"/>
        <v>0.214</v>
      </c>
      <c r="D168" s="96">
        <v>8.0000000000000002E-3</v>
      </c>
      <c r="E168" s="96">
        <v>0.20599999999999999</v>
      </c>
      <c r="F168" s="96">
        <v>0</v>
      </c>
      <c r="G168" s="109">
        <v>2.1</v>
      </c>
    </row>
    <row r="169" spans="1:7" ht="82.5" hidden="1">
      <c r="A169" s="92" t="s">
        <v>276</v>
      </c>
      <c r="B169" s="103" t="s">
        <v>277</v>
      </c>
      <c r="C169" s="94">
        <f t="shared" si="2"/>
        <v>16405.099999999999</v>
      </c>
      <c r="D169" s="96">
        <v>492.2</v>
      </c>
      <c r="E169" s="96">
        <v>15912.9</v>
      </c>
      <c r="F169" s="96">
        <v>0</v>
      </c>
      <c r="G169" s="109"/>
    </row>
    <row r="170" spans="1:7" ht="16.5" hidden="1">
      <c r="A170" s="92"/>
      <c r="B170" s="103" t="s">
        <v>21</v>
      </c>
      <c r="C170" s="94">
        <f t="shared" si="2"/>
        <v>0</v>
      </c>
      <c r="D170" s="96"/>
      <c r="E170" s="96"/>
      <c r="F170" s="96"/>
      <c r="G170" s="109"/>
    </row>
    <row r="171" spans="1:7" ht="49.5" hidden="1">
      <c r="A171" s="92" t="s">
        <v>32</v>
      </c>
      <c r="B171" s="97" t="s">
        <v>278</v>
      </c>
      <c r="C171" s="94">
        <f t="shared" si="2"/>
        <v>0</v>
      </c>
      <c r="D171" s="96"/>
      <c r="E171" s="96"/>
      <c r="F171" s="96"/>
      <c r="G171" s="109"/>
    </row>
    <row r="172" spans="1:7" ht="33" hidden="1">
      <c r="A172" s="92" t="s">
        <v>32</v>
      </c>
      <c r="B172" s="97" t="s">
        <v>280</v>
      </c>
      <c r="C172" s="94">
        <f t="shared" si="2"/>
        <v>16405.099999999999</v>
      </c>
      <c r="D172" s="96">
        <v>492.2</v>
      </c>
      <c r="E172" s="96">
        <v>15912.9</v>
      </c>
      <c r="F172" s="96"/>
      <c r="G172" s="109"/>
    </row>
    <row r="173" spans="1:7" ht="49.5" hidden="1">
      <c r="A173" s="92" t="s">
        <v>282</v>
      </c>
      <c r="B173" s="103" t="s">
        <v>283</v>
      </c>
      <c r="C173" s="94">
        <f t="shared" si="2"/>
        <v>160995.9</v>
      </c>
      <c r="D173" s="96">
        <v>4813.6000000000004</v>
      </c>
      <c r="E173" s="96">
        <v>155639.70000000001</v>
      </c>
      <c r="F173" s="96">
        <v>542.6</v>
      </c>
      <c r="G173" s="109"/>
    </row>
    <row r="174" spans="1:7" ht="16.5" hidden="1">
      <c r="A174" s="92"/>
      <c r="B174" s="103" t="s">
        <v>21</v>
      </c>
      <c r="C174" s="94">
        <f t="shared" si="2"/>
        <v>0</v>
      </c>
      <c r="D174" s="96"/>
      <c r="E174" s="96"/>
      <c r="F174" s="96"/>
      <c r="G174" s="109"/>
    </row>
    <row r="175" spans="1:7" ht="49.5" hidden="1">
      <c r="A175" s="92" t="s">
        <v>32</v>
      </c>
      <c r="B175" s="97" t="s">
        <v>278</v>
      </c>
      <c r="C175" s="94">
        <f t="shared" si="2"/>
        <v>114390.3</v>
      </c>
      <c r="D175" s="96">
        <v>3431.7</v>
      </c>
      <c r="E175" s="96">
        <v>110958.6</v>
      </c>
      <c r="F175" s="96"/>
      <c r="G175" s="109"/>
    </row>
    <row r="176" spans="1:7" ht="99" hidden="1">
      <c r="A176" s="92" t="s">
        <v>32</v>
      </c>
      <c r="B176" s="97" t="s">
        <v>285</v>
      </c>
      <c r="C176" s="94">
        <f t="shared" si="2"/>
        <v>10851.9</v>
      </c>
      <c r="D176" s="96">
        <v>309.3</v>
      </c>
      <c r="E176" s="96">
        <v>10000</v>
      </c>
      <c r="F176" s="96">
        <v>542.6</v>
      </c>
      <c r="G176" s="109"/>
    </row>
    <row r="177" spans="1:7" ht="82.5" hidden="1">
      <c r="A177" s="92" t="s">
        <v>32</v>
      </c>
      <c r="B177" s="97" t="s">
        <v>287</v>
      </c>
      <c r="C177" s="94">
        <f t="shared" si="2"/>
        <v>7628.9</v>
      </c>
      <c r="D177" s="96">
        <v>228.9</v>
      </c>
      <c r="E177" s="96">
        <v>7400</v>
      </c>
      <c r="F177" s="96"/>
      <c r="G177" s="109"/>
    </row>
    <row r="178" spans="1:7" ht="66" hidden="1">
      <c r="A178" s="92" t="s">
        <v>32</v>
      </c>
      <c r="B178" s="97" t="s">
        <v>289</v>
      </c>
      <c r="C178" s="94">
        <f t="shared" si="2"/>
        <v>28124.799999999999</v>
      </c>
      <c r="D178" s="96">
        <v>843.7</v>
      </c>
      <c r="E178" s="96">
        <v>27281.1</v>
      </c>
      <c r="F178" s="96"/>
      <c r="G178" s="109"/>
    </row>
    <row r="179" spans="1:7" ht="33" hidden="1">
      <c r="A179" s="92" t="s">
        <v>291</v>
      </c>
      <c r="B179" s="103" t="s">
        <v>292</v>
      </c>
      <c r="C179" s="94">
        <f t="shared" si="2"/>
        <v>9090.4</v>
      </c>
      <c r="D179" s="96">
        <v>272.7</v>
      </c>
      <c r="E179" s="96">
        <v>8817.7000000000007</v>
      </c>
      <c r="F179" s="96">
        <v>0</v>
      </c>
      <c r="G179" s="109"/>
    </row>
    <row r="180" spans="1:7" ht="16.5" hidden="1">
      <c r="A180" s="92"/>
      <c r="B180" s="103" t="s">
        <v>21</v>
      </c>
      <c r="C180" s="94">
        <f t="shared" si="2"/>
        <v>0</v>
      </c>
      <c r="D180" s="96"/>
      <c r="E180" s="96"/>
      <c r="F180" s="96"/>
      <c r="G180" s="109"/>
    </row>
    <row r="181" spans="1:7" ht="49.5" hidden="1">
      <c r="A181" s="92" t="s">
        <v>32</v>
      </c>
      <c r="B181" s="97" t="s">
        <v>278</v>
      </c>
      <c r="C181" s="94">
        <f t="shared" si="2"/>
        <v>9090.4</v>
      </c>
      <c r="D181" s="96">
        <v>272.7</v>
      </c>
      <c r="E181" s="96">
        <v>8817.7000000000007</v>
      </c>
      <c r="F181" s="96"/>
      <c r="G181" s="109"/>
    </row>
    <row r="182" spans="1:7" ht="49.5" hidden="1">
      <c r="A182" s="92" t="s">
        <v>294</v>
      </c>
      <c r="B182" s="103" t="s">
        <v>295</v>
      </c>
      <c r="C182" s="94">
        <f t="shared" si="2"/>
        <v>27328.5</v>
      </c>
      <c r="D182" s="96">
        <v>2067</v>
      </c>
      <c r="E182" s="96">
        <v>25261.5</v>
      </c>
      <c r="F182" s="96">
        <v>0</v>
      </c>
      <c r="G182" s="109"/>
    </row>
    <row r="183" spans="1:7" ht="16.5" hidden="1">
      <c r="A183" s="92"/>
      <c r="B183" s="97" t="s">
        <v>21</v>
      </c>
      <c r="C183" s="94">
        <f t="shared" si="2"/>
        <v>0</v>
      </c>
      <c r="D183" s="96"/>
      <c r="E183" s="96"/>
      <c r="F183" s="96"/>
      <c r="G183" s="109"/>
    </row>
    <row r="184" spans="1:7" ht="33" hidden="1">
      <c r="A184" s="92"/>
      <c r="B184" s="97" t="s">
        <v>296</v>
      </c>
      <c r="C184" s="94">
        <f t="shared" si="2"/>
        <v>0</v>
      </c>
      <c r="D184" s="96">
        <v>0</v>
      </c>
      <c r="E184" s="96"/>
      <c r="F184" s="96"/>
      <c r="G184" s="109"/>
    </row>
    <row r="185" spans="1:7" ht="49.5" hidden="1">
      <c r="A185" s="92"/>
      <c r="B185" s="97" t="s">
        <v>299</v>
      </c>
      <c r="C185" s="94">
        <f t="shared" si="2"/>
        <v>24926.799999999999</v>
      </c>
      <c r="D185" s="96">
        <v>747.8</v>
      </c>
      <c r="E185" s="96">
        <v>24179</v>
      </c>
      <c r="F185" s="96"/>
      <c r="G185" s="109"/>
    </row>
    <row r="186" spans="1:7" ht="66" hidden="1">
      <c r="A186" s="92"/>
      <c r="B186" s="97" t="s">
        <v>301</v>
      </c>
      <c r="C186" s="94">
        <f t="shared" si="2"/>
        <v>1116</v>
      </c>
      <c r="D186" s="96">
        <v>33.5</v>
      </c>
      <c r="E186" s="96">
        <v>1082.5</v>
      </c>
      <c r="F186" s="96"/>
      <c r="G186" s="109"/>
    </row>
    <row r="187" spans="1:7" ht="66" hidden="1">
      <c r="A187" s="92"/>
      <c r="B187" s="97" t="s">
        <v>301</v>
      </c>
      <c r="C187" s="94">
        <f t="shared" si="2"/>
        <v>1285.7</v>
      </c>
      <c r="D187" s="96">
        <v>1285.7</v>
      </c>
      <c r="E187" s="96"/>
      <c r="F187" s="96"/>
      <c r="G187" s="109"/>
    </row>
    <row r="188" spans="1:7" ht="33">
      <c r="A188" s="92" t="s">
        <v>304</v>
      </c>
      <c r="B188" s="103" t="s">
        <v>305</v>
      </c>
      <c r="C188" s="94">
        <f t="shared" si="2"/>
        <v>8.4000000000000005E-2</v>
      </c>
      <c r="D188" s="96">
        <v>1.0999999999999999E-2</v>
      </c>
      <c r="E188" s="96">
        <v>7.2999999999999995E-2</v>
      </c>
      <c r="F188" s="96">
        <v>0</v>
      </c>
      <c r="G188" s="109">
        <v>0.8</v>
      </c>
    </row>
    <row r="189" spans="1:7" ht="66" hidden="1">
      <c r="A189" s="9" t="s">
        <v>306</v>
      </c>
      <c r="B189" s="24" t="s">
        <v>307</v>
      </c>
      <c r="C189" s="35">
        <f>SUM(C191:C194)</f>
        <v>38275.800000000003</v>
      </c>
      <c r="D189" s="35">
        <f>SUM(D191:D194)</f>
        <v>9400</v>
      </c>
      <c r="E189" s="35">
        <f>SUM(E191:E194)</f>
        <v>28875.8</v>
      </c>
      <c r="F189" s="35">
        <f>SUM(F191:F194)</f>
        <v>0</v>
      </c>
    </row>
    <row r="190" spans="1:7" ht="16.5" hidden="1">
      <c r="A190" s="11"/>
      <c r="B190" s="28" t="s">
        <v>21</v>
      </c>
      <c r="C190" s="35"/>
      <c r="D190" s="36"/>
      <c r="E190" s="36"/>
      <c r="F190" s="36"/>
    </row>
    <row r="191" spans="1:7" ht="82.5" hidden="1">
      <c r="A191" s="11"/>
      <c r="B191" s="26" t="s">
        <v>308</v>
      </c>
      <c r="C191" s="35">
        <f>SUM(D191:E191)</f>
        <v>26875.8</v>
      </c>
      <c r="D191" s="36">
        <v>2500</v>
      </c>
      <c r="E191" s="36">
        <v>24375.8</v>
      </c>
      <c r="F191" s="36"/>
    </row>
    <row r="192" spans="1:7" ht="82.5" hidden="1">
      <c r="A192" s="11"/>
      <c r="B192" s="26" t="s">
        <v>308</v>
      </c>
      <c r="C192" s="35">
        <f>SUM(D192:E192)</f>
        <v>4500</v>
      </c>
      <c r="D192" s="36"/>
      <c r="E192" s="36">
        <v>4500</v>
      </c>
      <c r="F192" s="36"/>
    </row>
    <row r="193" spans="1:7" ht="99" hidden="1">
      <c r="A193" s="11"/>
      <c r="B193" s="26" t="s">
        <v>310</v>
      </c>
      <c r="C193" s="35">
        <f>SUM(D193:E193)</f>
        <v>0</v>
      </c>
      <c r="D193" s="36">
        <f>6900-6900</f>
        <v>0</v>
      </c>
      <c r="E193" s="36"/>
      <c r="F193" s="36"/>
    </row>
    <row r="194" spans="1:7" ht="99" hidden="1">
      <c r="A194" s="11"/>
      <c r="B194" s="26" t="s">
        <v>310</v>
      </c>
      <c r="C194" s="35">
        <f>SUM(D194:E194)</f>
        <v>6900</v>
      </c>
      <c r="D194" s="36">
        <v>6900</v>
      </c>
      <c r="E194" s="36"/>
      <c r="F194" s="36"/>
    </row>
    <row r="195" spans="1:7" ht="66" hidden="1">
      <c r="A195" s="58" t="s">
        <v>313</v>
      </c>
      <c r="B195" s="24" t="s">
        <v>314</v>
      </c>
      <c r="C195" s="35">
        <f>SUM(C197:C198)</f>
        <v>46714</v>
      </c>
      <c r="D195" s="35">
        <f t="shared" ref="D195:F195" si="3">SUM(D197:D198)</f>
        <v>2335.6999999999998</v>
      </c>
      <c r="E195" s="35">
        <f t="shared" si="3"/>
        <v>44378.3</v>
      </c>
      <c r="F195" s="35">
        <f t="shared" si="3"/>
        <v>0</v>
      </c>
    </row>
    <row r="196" spans="1:7" ht="16.5" hidden="1">
      <c r="A196" s="11"/>
      <c r="B196" s="28" t="s">
        <v>21</v>
      </c>
      <c r="C196" s="35"/>
      <c r="D196" s="36"/>
      <c r="E196" s="36"/>
      <c r="F196" s="36"/>
    </row>
    <row r="197" spans="1:7" ht="66" hidden="1">
      <c r="A197" s="11" t="s">
        <v>22</v>
      </c>
      <c r="B197" s="26" t="s">
        <v>315</v>
      </c>
      <c r="C197" s="35">
        <f>SUM(D197:E197)</f>
        <v>19124.8</v>
      </c>
      <c r="D197" s="36">
        <v>956.3</v>
      </c>
      <c r="E197" s="36">
        <v>18168.5</v>
      </c>
      <c r="F197" s="36"/>
    </row>
    <row r="198" spans="1:7" ht="115.5" hidden="1">
      <c r="A198" s="11" t="s">
        <v>22</v>
      </c>
      <c r="B198" s="26" t="s">
        <v>317</v>
      </c>
      <c r="C198" s="35">
        <f>SUM(D198:E198)</f>
        <v>27589.200000000001</v>
      </c>
      <c r="D198" s="36">
        <v>1379.4</v>
      </c>
      <c r="E198" s="36">
        <v>26209.8</v>
      </c>
      <c r="F198" s="36"/>
    </row>
    <row r="200" spans="1:7" ht="15.75" thickBot="1"/>
    <row r="201" spans="1:7" ht="62.25" customHeight="1" thickBot="1">
      <c r="A201" s="139"/>
      <c r="B201" s="141" t="s">
        <v>1</v>
      </c>
      <c r="C201" s="143" t="s">
        <v>362</v>
      </c>
      <c r="D201" s="144"/>
      <c r="E201" s="144"/>
      <c r="F201" s="145"/>
      <c r="G201" s="146" t="s">
        <v>363</v>
      </c>
    </row>
    <row r="202" spans="1:7" ht="16.5" thickBot="1">
      <c r="A202" s="140"/>
      <c r="B202" s="142"/>
      <c r="C202" s="111" t="s">
        <v>11</v>
      </c>
      <c r="D202" s="112" t="s">
        <v>12</v>
      </c>
      <c r="E202" s="112" t="s">
        <v>13</v>
      </c>
      <c r="F202" s="112" t="s">
        <v>364</v>
      </c>
      <c r="G202" s="147"/>
    </row>
    <row r="203" spans="1:7" ht="17.25" thickBot="1">
      <c r="A203" s="113"/>
      <c r="B203" s="114" t="s">
        <v>16</v>
      </c>
      <c r="C203" s="117" t="s">
        <v>365</v>
      </c>
      <c r="D203" s="117">
        <v>3.4220000000000002</v>
      </c>
      <c r="E203" s="117">
        <v>6.2549999999999999</v>
      </c>
      <c r="F203" s="117">
        <v>0.63100000000000001</v>
      </c>
      <c r="G203" s="118">
        <v>100</v>
      </c>
    </row>
    <row r="204" spans="1:7" ht="17.25" thickBot="1">
      <c r="A204" s="113">
        <v>1</v>
      </c>
      <c r="B204" s="115" t="s">
        <v>17</v>
      </c>
      <c r="C204" s="119">
        <v>2.988</v>
      </c>
      <c r="D204" s="120">
        <v>1.5740000000000001</v>
      </c>
      <c r="E204" s="120">
        <v>1.37</v>
      </c>
      <c r="F204" s="120">
        <v>4.3999999999999997E-2</v>
      </c>
      <c r="G204" s="118">
        <v>29</v>
      </c>
    </row>
    <row r="205" spans="1:7" ht="32.25" thickBot="1">
      <c r="A205" s="113">
        <v>7</v>
      </c>
      <c r="B205" s="116" t="s">
        <v>250</v>
      </c>
      <c r="C205" s="119">
        <v>2.613</v>
      </c>
      <c r="D205" s="120">
        <v>0.52300000000000002</v>
      </c>
      <c r="E205" s="120">
        <v>1.821</v>
      </c>
      <c r="F205" s="120">
        <v>0.26900000000000002</v>
      </c>
      <c r="G205" s="118">
        <v>25.4</v>
      </c>
    </row>
    <row r="206" spans="1:7" ht="17.25" thickBot="1">
      <c r="A206" s="113">
        <v>3</v>
      </c>
      <c r="B206" s="115" t="s">
        <v>115</v>
      </c>
      <c r="C206" s="119">
        <v>1.5189999999999999</v>
      </c>
      <c r="D206" s="120">
        <v>0.81699999999999995</v>
      </c>
      <c r="E206" s="120">
        <v>0.66300000000000003</v>
      </c>
      <c r="F206" s="120">
        <v>3.9E-2</v>
      </c>
      <c r="G206" s="118">
        <v>14.7</v>
      </c>
    </row>
    <row r="207" spans="1:7" ht="32.25" thickBot="1">
      <c r="A207" s="113">
        <v>5</v>
      </c>
      <c r="B207" s="116" t="s">
        <v>207</v>
      </c>
      <c r="C207" s="119">
        <v>1.2370000000000001</v>
      </c>
      <c r="D207" s="120">
        <v>2.9000000000000001E-2</v>
      </c>
      <c r="E207" s="120">
        <v>0.96099999999999997</v>
      </c>
      <c r="F207" s="120">
        <v>0.247</v>
      </c>
      <c r="G207" s="118">
        <v>12</v>
      </c>
    </row>
    <row r="208" spans="1:7" ht="17.25" thickBot="1">
      <c r="A208" s="113">
        <v>2</v>
      </c>
      <c r="B208" s="115" t="s">
        <v>74</v>
      </c>
      <c r="C208" s="119">
        <v>1.216</v>
      </c>
      <c r="D208" s="120">
        <v>0.26700000000000002</v>
      </c>
      <c r="E208" s="120">
        <v>0.94899999999999995</v>
      </c>
      <c r="F208" s="120">
        <v>0</v>
      </c>
      <c r="G208" s="118">
        <v>11.8</v>
      </c>
    </row>
    <row r="209" spans="1:7" ht="63.75" thickBot="1">
      <c r="A209" s="113">
        <v>9</v>
      </c>
      <c r="B209" s="116" t="s">
        <v>275</v>
      </c>
      <c r="C209" s="119">
        <v>0.214</v>
      </c>
      <c r="D209" s="120">
        <v>8.0000000000000002E-3</v>
      </c>
      <c r="E209" s="120">
        <v>0.20599999999999999</v>
      </c>
      <c r="F209" s="120">
        <v>0</v>
      </c>
      <c r="G209" s="118">
        <v>2.1</v>
      </c>
    </row>
    <row r="210" spans="1:7" ht="17.25" thickBot="1">
      <c r="A210" s="113">
        <v>6</v>
      </c>
      <c r="B210" s="115" t="s">
        <v>225</v>
      </c>
      <c r="C210" s="119">
        <v>0.17899999999999999</v>
      </c>
      <c r="D210" s="120">
        <v>3.7999999999999999E-2</v>
      </c>
      <c r="E210" s="120">
        <v>0.125</v>
      </c>
      <c r="F210" s="120">
        <v>1.6E-2</v>
      </c>
      <c r="G210" s="118">
        <v>1.7</v>
      </c>
    </row>
    <row r="211" spans="1:7" ht="17.25" thickBot="1">
      <c r="A211" s="113">
        <v>8</v>
      </c>
      <c r="B211" s="115" t="s">
        <v>257</v>
      </c>
      <c r="C211" s="119">
        <v>0.14899999999999999</v>
      </c>
      <c r="D211" s="120">
        <v>4.5999999999999999E-2</v>
      </c>
      <c r="E211" s="120">
        <v>8.6999999999999994E-2</v>
      </c>
      <c r="F211" s="120">
        <v>1.6E-2</v>
      </c>
      <c r="G211" s="118">
        <v>1.4</v>
      </c>
    </row>
    <row r="212" spans="1:7" ht="17.25" thickBot="1">
      <c r="A212" s="113">
        <v>4</v>
      </c>
      <c r="B212" s="116" t="s">
        <v>173</v>
      </c>
      <c r="C212" s="119">
        <v>0.109</v>
      </c>
      <c r="D212" s="120">
        <v>0.109</v>
      </c>
      <c r="E212" s="120">
        <v>0</v>
      </c>
      <c r="F212" s="120">
        <v>0</v>
      </c>
      <c r="G212" s="118">
        <v>1.1000000000000001</v>
      </c>
    </row>
    <row r="213" spans="1:7" ht="32.25" thickBot="1">
      <c r="A213" s="113">
        <v>10</v>
      </c>
      <c r="B213" s="116" t="s">
        <v>305</v>
      </c>
      <c r="C213" s="119">
        <v>8.4000000000000005E-2</v>
      </c>
      <c r="D213" s="120">
        <v>1.0999999999999999E-2</v>
      </c>
      <c r="E213" s="120">
        <v>7.2999999999999995E-2</v>
      </c>
      <c r="F213" s="120">
        <v>0</v>
      </c>
      <c r="G213" s="118">
        <v>0.8</v>
      </c>
    </row>
  </sheetData>
  <sortState ref="A204:G213">
    <sortCondition descending="1" ref="C204:C213"/>
  </sortState>
  <mergeCells count="6">
    <mergeCell ref="A201:A202"/>
    <mergeCell ref="B201:B202"/>
    <mergeCell ref="C201:F201"/>
    <mergeCell ref="G201:G202"/>
    <mergeCell ref="A7:A8"/>
    <mergeCell ref="F135:F1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Лист1</vt:lpstr>
      <vt:lpstr>Лист4</vt:lpstr>
      <vt:lpstr>Лист2</vt:lpstr>
      <vt:lpstr>Лист3</vt:lpstr>
      <vt:lpstr>Лист5</vt:lpstr>
      <vt:lpstr>Лист1!Заголовки_для_печати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2019-12-09T02:21:59Z</dcterms:modified>
</cp:coreProperties>
</file>